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8865" tabRatio="938" activeTab="6"/>
  </bookViews>
  <sheets>
    <sheet name="Прил 4 " sheetId="97" r:id="rId1"/>
    <sheet name="Прил 5" sheetId="74" r:id="rId2"/>
    <sheet name="Прил 6" sheetId="75" r:id="rId3"/>
    <sheet name="Прил 7" sheetId="76" r:id="rId4"/>
    <sheet name="Прил 8" sheetId="87" state="hidden" r:id="rId5"/>
    <sheet name="Прил 9" sheetId="88" state="hidden" r:id="rId6"/>
    <sheet name="Прил 12" sheetId="91" r:id="rId7"/>
    <sheet name="Прил 14" sheetId="98" state="hidden" r:id="rId8"/>
    <sheet name="прил15" sheetId="80" state="hidden" r:id="rId9"/>
    <sheet name="Прил 16" sheetId="81" state="hidden" r:id="rId10"/>
    <sheet name="Прил 17" sheetId="82" state="hidden" r:id="rId11"/>
    <sheet name="Прил 19" sheetId="99" state="hidden" r:id="rId12"/>
    <sheet name="Прил 18" sheetId="94" state="hidden" r:id="rId13"/>
    <sheet name="Прил 20" sheetId="96" state="hidden" r:id="rId14"/>
    <sheet name="Прил 13" sheetId="100" state="hidden" r:id="rId15"/>
  </sheets>
  <externalReferences>
    <externalReference r:id="rId16"/>
  </externalReferences>
  <definedNames>
    <definedName name="_xlnm._FilterDatabase" localSheetId="6" hidden="1">'Прил 12'!$A$8:$F$22</definedName>
    <definedName name="_xlnm._FilterDatabase" localSheetId="7" hidden="1">'Прил 14'!$A$9:$J$211</definedName>
    <definedName name="_xlnm._FilterDatabase" localSheetId="9" hidden="1">'Прил 16'!$A$8:$F$61</definedName>
    <definedName name="_xlnm._FilterDatabase" localSheetId="10" hidden="1">'Прил 17'!$A$10:$E$463</definedName>
    <definedName name="_xlnm._FilterDatabase" localSheetId="0" hidden="1">'Прил 4 '!$A$11:$K$275</definedName>
    <definedName name="_xlnm._FilterDatabase" localSheetId="1" hidden="1">'Прил 5'!$A$11:$IE$904</definedName>
    <definedName name="_xlnm._FilterDatabase" localSheetId="2" hidden="1">'Прил 6'!$A$9:$F$62</definedName>
    <definedName name="_xlnm._FilterDatabase" localSheetId="3" hidden="1">'Прил 7'!$A$11:$F$566</definedName>
    <definedName name="_xlnm._FilterDatabase" localSheetId="8" hidden="1">прил15!$A$11:$IH$745</definedName>
    <definedName name="asrersersresreserserserser" localSheetId="11">#REF!</definedName>
    <definedName name="asrersersresreserserserser">#REF!</definedName>
    <definedName name="bbi1iepey541b3erm5gspvzrtk" localSheetId="7">#REF!</definedName>
    <definedName name="bbi1iepey541b3erm5gspvzrtk" localSheetId="11">#REF!</definedName>
    <definedName name="bbi1iepey541b3erm5gspvzrtk" localSheetId="0">#REF!</definedName>
    <definedName name="bbi1iepey541b3erm5gspvzrtk" localSheetId="3">#REF!</definedName>
    <definedName name="bbi1iepey541b3erm5gspvzrtk" localSheetId="4">#REF!</definedName>
    <definedName name="bbi1iepey541b3erm5gspvzrtk">#REF!</definedName>
    <definedName name="dsfsdfsdewrew3ere" localSheetId="11">#REF!</definedName>
    <definedName name="dsfsdfsdewrew3ere">#REF!</definedName>
    <definedName name="dsfsdfsdffsfdsfsd" localSheetId="11">#REF!</definedName>
    <definedName name="dsfsdfsdffsfdsfsd">#REF!</definedName>
    <definedName name="eaho2ejrtdbq5dbiou1fruoidk" localSheetId="7">#REF!</definedName>
    <definedName name="eaho2ejrtdbq5dbiou1fruoidk" localSheetId="11">#REF!</definedName>
    <definedName name="eaho2ejrtdbq5dbiou1fruoidk" localSheetId="0">#REF!</definedName>
    <definedName name="eaho2ejrtdbq5dbiou1fruoidk" localSheetId="3">#REF!</definedName>
    <definedName name="eaho2ejrtdbq5dbiou1fruoidk" localSheetId="4">#REF!</definedName>
    <definedName name="eaho2ejrtdbq5dbiou1fruoidk">#REF!</definedName>
    <definedName name="fgffgfgnfvgjgfgh" localSheetId="11">#REF!</definedName>
    <definedName name="fgffgfgnfvgjgfgh">#REF!</definedName>
    <definedName name="frupzostrx2engzlq5coj1izgc" localSheetId="7">#REF!</definedName>
    <definedName name="frupzostrx2engzlq5coj1izgc" localSheetId="11">#REF!</definedName>
    <definedName name="frupzostrx2engzlq5coj1izgc" localSheetId="0">#REF!</definedName>
    <definedName name="frupzostrx2engzlq5coj1izgc" localSheetId="3">#REF!</definedName>
    <definedName name="frupzostrx2engzlq5coj1izgc" localSheetId="4">#REF!</definedName>
    <definedName name="frupzostrx2engzlq5coj1izgc">#REF!</definedName>
    <definedName name="hxw0shfsad1bl0w3rcqndiwdqc" localSheetId="7">#REF!</definedName>
    <definedName name="hxw0shfsad1bl0w3rcqndiwdqc" localSheetId="11">#REF!</definedName>
    <definedName name="hxw0shfsad1bl0w3rcqndiwdqc" localSheetId="0">#REF!</definedName>
    <definedName name="hxw0shfsad1bl0w3rcqndiwdqc" localSheetId="3">#REF!</definedName>
    <definedName name="hxw0shfsad1bl0w3rcqndiwdqc" localSheetId="4">#REF!</definedName>
    <definedName name="hxw0shfsad1bl0w3rcqndiwdqc">#REF!</definedName>
    <definedName name="idhebtridp4g55tiidmllpbcck" localSheetId="7">#REF!</definedName>
    <definedName name="idhebtridp4g55tiidmllpbcck" localSheetId="11">#REF!</definedName>
    <definedName name="idhebtridp4g55tiidmllpbcck" localSheetId="0">#REF!</definedName>
    <definedName name="idhebtridp4g55tiidmllpbcck" localSheetId="3">#REF!</definedName>
    <definedName name="idhebtridp4g55tiidmllpbcck" localSheetId="4">#REF!</definedName>
    <definedName name="idhebtridp4g55tiidmllpbcck">#REF!</definedName>
    <definedName name="ilgrxtqehl5ojfb14epb1v0vpk" localSheetId="7">#REF!</definedName>
    <definedName name="ilgrxtqehl5ojfb14epb1v0vpk" localSheetId="11">#REF!</definedName>
    <definedName name="ilgrxtqehl5ojfb14epb1v0vpk" localSheetId="0">#REF!</definedName>
    <definedName name="ilgrxtqehl5ojfb14epb1v0vpk" localSheetId="3">#REF!</definedName>
    <definedName name="ilgrxtqehl5ojfb14epb1v0vpk" localSheetId="4">#REF!</definedName>
    <definedName name="ilgrxtqehl5ojfb14epb1v0vpk">#REF!</definedName>
    <definedName name="iukfigxpatbnff5s3qskal4gtw" localSheetId="7">#REF!</definedName>
    <definedName name="iukfigxpatbnff5s3qskal4gtw" localSheetId="11">#REF!</definedName>
    <definedName name="iukfigxpatbnff5s3qskal4gtw" localSheetId="0">#REF!</definedName>
    <definedName name="iukfigxpatbnff5s3qskal4gtw" localSheetId="3">#REF!</definedName>
    <definedName name="iukfigxpatbnff5s3qskal4gtw" localSheetId="4">#REF!</definedName>
    <definedName name="iukfigxpatbnff5s3qskal4gtw">#REF!</definedName>
    <definedName name="jbdrlm0jnl44bjyvb5parwosvs" localSheetId="7">#REF!</definedName>
    <definedName name="jbdrlm0jnl44bjyvb5parwosvs" localSheetId="11">#REF!</definedName>
    <definedName name="jbdrlm0jnl44bjyvb5parwosvs" localSheetId="0">#REF!</definedName>
    <definedName name="jbdrlm0jnl44bjyvb5parwosvs" localSheetId="3">#REF!</definedName>
    <definedName name="jbdrlm0jnl44bjyvb5parwosvs" localSheetId="4">#REF!</definedName>
    <definedName name="jbdrlm0jnl44bjyvb5parwosvs">#REF!</definedName>
    <definedName name="jmacmxvbgdblzh0tvh4m0gadvc" localSheetId="7">#REF!</definedName>
    <definedName name="jmacmxvbgdblzh0tvh4m0gadvc" localSheetId="11">#REF!</definedName>
    <definedName name="jmacmxvbgdblzh0tvh4m0gadvc" localSheetId="0">#REF!</definedName>
    <definedName name="jmacmxvbgdblzh0tvh4m0gadvc" localSheetId="3">#REF!</definedName>
    <definedName name="jmacmxvbgdblzh0tvh4m0gadvc" localSheetId="4">#REF!</definedName>
    <definedName name="jmacmxvbgdblzh0tvh4m0gadvc">#REF!</definedName>
    <definedName name="miceqmminp2t5fkvq3dcp5azms" localSheetId="7">#REF!</definedName>
    <definedName name="miceqmminp2t5fkvq3dcp5azms" localSheetId="11">#REF!</definedName>
    <definedName name="miceqmminp2t5fkvq3dcp5azms" localSheetId="0">#REF!</definedName>
    <definedName name="miceqmminp2t5fkvq3dcp5azms" localSheetId="3">#REF!</definedName>
    <definedName name="miceqmminp2t5fkvq3dcp5azms" localSheetId="4">#REF!</definedName>
    <definedName name="miceqmminp2t5fkvq3dcp5azms">#REF!</definedName>
    <definedName name="muebv3fbrh0nbhfkcvkdiuichg" localSheetId="7">#REF!</definedName>
    <definedName name="muebv3fbrh0nbhfkcvkdiuichg" localSheetId="11">#REF!</definedName>
    <definedName name="muebv3fbrh0nbhfkcvkdiuichg" localSheetId="0">#REF!</definedName>
    <definedName name="muebv3fbrh0nbhfkcvkdiuichg" localSheetId="3">#REF!</definedName>
    <definedName name="muebv3fbrh0nbhfkcvkdiuichg" localSheetId="4">#REF!</definedName>
    <definedName name="muebv3fbrh0nbhfkcvkdiuichg">#REF!</definedName>
    <definedName name="oishsvraxpbc3jz3kk3m5zcwm0" localSheetId="7">#REF!</definedName>
    <definedName name="oishsvraxpbc3jz3kk3m5zcwm0" localSheetId="11">#REF!</definedName>
    <definedName name="oishsvraxpbc3jz3kk3m5zcwm0" localSheetId="0">#REF!</definedName>
    <definedName name="oishsvraxpbc3jz3kk3m5zcwm0" localSheetId="3">#REF!</definedName>
    <definedName name="oishsvraxpbc3jz3kk3m5zcwm0" localSheetId="4">#REF!</definedName>
    <definedName name="oishsvraxpbc3jz3kk3m5zcwm0">#REF!</definedName>
    <definedName name="pf4ktio2ct2wb5lic4d0ij22zg" localSheetId="7">#REF!</definedName>
    <definedName name="pf4ktio2ct2wb5lic4d0ij22zg" localSheetId="11">#REF!</definedName>
    <definedName name="pf4ktio2ct2wb5lic4d0ij22zg" localSheetId="0">#REF!</definedName>
    <definedName name="pf4ktio2ct2wb5lic4d0ij22zg" localSheetId="3">#REF!</definedName>
    <definedName name="pf4ktio2ct2wb5lic4d0ij22zg" localSheetId="4">#REF!</definedName>
    <definedName name="pf4ktio2ct2wb5lic4d0ij22zg">#REF!</definedName>
    <definedName name="qhgcjeqs4xbh5af0b0knrgslds" localSheetId="7">#REF!</definedName>
    <definedName name="qhgcjeqs4xbh5af0b0knrgslds" localSheetId="11">#REF!</definedName>
    <definedName name="qhgcjeqs4xbh5af0b0knrgslds" localSheetId="0">#REF!</definedName>
    <definedName name="qhgcjeqs4xbh5af0b0knrgslds" localSheetId="3">#REF!</definedName>
    <definedName name="qhgcjeqs4xbh5af0b0knrgslds" localSheetId="4">#REF!</definedName>
    <definedName name="qhgcjeqs4xbh5af0b0knrgslds">#REF!</definedName>
    <definedName name="qm1r2zbyvxaabczgs5nd53xmq4" localSheetId="7">#REF!</definedName>
    <definedName name="qm1r2zbyvxaabczgs5nd53xmq4" localSheetId="11">#REF!</definedName>
    <definedName name="qm1r2zbyvxaabczgs5nd53xmq4" localSheetId="0">#REF!</definedName>
    <definedName name="qm1r2zbyvxaabczgs5nd53xmq4" localSheetId="3">#REF!</definedName>
    <definedName name="qm1r2zbyvxaabczgs5nd53xmq4" localSheetId="4">#REF!</definedName>
    <definedName name="qm1r2zbyvxaabczgs5nd53xmq4">#REF!</definedName>
    <definedName name="qunp1nijp1aaxbgswizf0lz200" localSheetId="7">#REF!</definedName>
    <definedName name="qunp1nijp1aaxbgswizf0lz200" localSheetId="11">#REF!</definedName>
    <definedName name="qunp1nijp1aaxbgswizf0lz200" localSheetId="0">#REF!</definedName>
    <definedName name="qunp1nijp1aaxbgswizf0lz200" localSheetId="3">#REF!</definedName>
    <definedName name="qunp1nijp1aaxbgswizf0lz200" localSheetId="4">#REF!</definedName>
    <definedName name="qunp1nijp1aaxbgswizf0lz200">#REF!</definedName>
    <definedName name="rcn525ywmx4pde1kn3aevp0dfk" localSheetId="7">#REF!</definedName>
    <definedName name="rcn525ywmx4pde1kn3aevp0dfk" localSheetId="11">#REF!</definedName>
    <definedName name="rcn525ywmx4pde1kn3aevp0dfk" localSheetId="0">#REF!</definedName>
    <definedName name="rcn525ywmx4pde1kn3aevp0dfk" localSheetId="3">#REF!</definedName>
    <definedName name="rcn525ywmx4pde1kn3aevp0dfk" localSheetId="4">#REF!</definedName>
    <definedName name="rcn525ywmx4pde1kn3aevp0dfk">#REF!</definedName>
    <definedName name="ssfdfsddsfdsf" localSheetId="11">#REF!</definedName>
    <definedName name="ssfdfsddsfdsf">#REF!</definedName>
    <definedName name="swpjxblu3dbu33cqzchc5hkk0w" localSheetId="7">#REF!</definedName>
    <definedName name="swpjxblu3dbu33cqzchc5hkk0w" localSheetId="11">#REF!</definedName>
    <definedName name="swpjxblu3dbu33cqzchc5hkk0w" localSheetId="0">#REF!</definedName>
    <definedName name="swpjxblu3dbu33cqzchc5hkk0w" localSheetId="3">#REF!</definedName>
    <definedName name="swpjxblu3dbu33cqzchc5hkk0w" localSheetId="4">#REF!</definedName>
    <definedName name="swpjxblu3dbu33cqzchc5hkk0w">#REF!</definedName>
    <definedName name="syjdhdk35p4nh3cjfxnviauzls" localSheetId="7">#REF!</definedName>
    <definedName name="syjdhdk35p4nh3cjfxnviauzls" localSheetId="11">#REF!</definedName>
    <definedName name="syjdhdk35p4nh3cjfxnviauzls" localSheetId="0">#REF!</definedName>
    <definedName name="syjdhdk35p4nh3cjfxnviauzls" localSheetId="3">#REF!</definedName>
    <definedName name="syjdhdk35p4nh3cjfxnviauzls" localSheetId="4">#REF!</definedName>
    <definedName name="syjdhdk35p4nh3cjfxnviauzls">#REF!</definedName>
    <definedName name="t1iocfpqd13el1y2ekxnfpwstw" localSheetId="7">#REF!</definedName>
    <definedName name="t1iocfpqd13el1y2ekxnfpwstw" localSheetId="11">#REF!</definedName>
    <definedName name="t1iocfpqd13el1y2ekxnfpwstw" localSheetId="0">#REF!</definedName>
    <definedName name="t1iocfpqd13el1y2ekxnfpwstw" localSheetId="3">#REF!</definedName>
    <definedName name="t1iocfpqd13el1y2ekxnfpwstw" localSheetId="4">#REF!</definedName>
    <definedName name="t1iocfpqd13el1y2ekxnfpwstw">#REF!</definedName>
    <definedName name="tqwxsrwtrd3p34nrtmvfunozag" localSheetId="7">#REF!</definedName>
    <definedName name="tqwxsrwtrd3p34nrtmvfunozag" localSheetId="11">#REF!</definedName>
    <definedName name="tqwxsrwtrd3p34nrtmvfunozag" localSheetId="0">#REF!</definedName>
    <definedName name="tqwxsrwtrd3p34nrtmvfunozag" localSheetId="3">#REF!</definedName>
    <definedName name="tqwxsrwtrd3p34nrtmvfunozag" localSheetId="4">#REF!</definedName>
    <definedName name="tqwxsrwtrd3p34nrtmvfunozag">#REF!</definedName>
    <definedName name="u1m5vran2x1y11qx5xfu2j4tz4" localSheetId="7">#REF!</definedName>
    <definedName name="u1m5vran2x1y11qx5xfu2j4tz4" localSheetId="11">#REF!</definedName>
    <definedName name="u1m5vran2x1y11qx5xfu2j4tz4" localSheetId="0">#REF!</definedName>
    <definedName name="u1m5vran2x1y11qx5xfu2j4tz4" localSheetId="3">#REF!</definedName>
    <definedName name="u1m5vran2x1y11qx5xfu2j4tz4" localSheetId="4">#REF!</definedName>
    <definedName name="u1m5vran2x1y11qx5xfu2j4tz4">#REF!</definedName>
    <definedName name="ua41amkhph5c1h53xxk2wbxxpk" localSheetId="7">#REF!</definedName>
    <definedName name="ua41amkhph5c1h53xxk2wbxxpk" localSheetId="11">#REF!</definedName>
    <definedName name="ua41amkhph5c1h53xxk2wbxxpk" localSheetId="0">#REF!</definedName>
    <definedName name="ua41amkhph5c1h53xxk2wbxxpk" localSheetId="3">#REF!</definedName>
    <definedName name="ua41amkhph5c1h53xxk2wbxxpk" localSheetId="4">#REF!</definedName>
    <definedName name="ua41amkhph5c1h53xxk2wbxxpk">#REF!</definedName>
    <definedName name="vm2ikyzfyl3c3f2vbofwexhk2c" localSheetId="7">#REF!</definedName>
    <definedName name="vm2ikyzfyl3c3f2vbofwexhk2c" localSheetId="11">#REF!</definedName>
    <definedName name="vm2ikyzfyl3c3f2vbofwexhk2c" localSheetId="0">#REF!</definedName>
    <definedName name="vm2ikyzfyl3c3f2vbofwexhk2c" localSheetId="3">#REF!</definedName>
    <definedName name="vm2ikyzfyl3c3f2vbofwexhk2c" localSheetId="4">#REF!</definedName>
    <definedName name="vm2ikyzfyl3c3f2vbofwexhk2c">#REF!</definedName>
    <definedName name="w1nehiloq13fdfxu13klcaopgw" localSheetId="7">#REF!</definedName>
    <definedName name="w1nehiloq13fdfxu13klcaopgw" localSheetId="11">#REF!</definedName>
    <definedName name="w1nehiloq13fdfxu13klcaopgw" localSheetId="0">#REF!</definedName>
    <definedName name="w1nehiloq13fdfxu13klcaopgw" localSheetId="3">#REF!</definedName>
    <definedName name="w1nehiloq13fdfxu13klcaopgw" localSheetId="4">#REF!</definedName>
    <definedName name="w1nehiloq13fdfxu13klcaopgw">#REF!</definedName>
    <definedName name="whvhn4kg25bcn2skpkb3bqydz4" localSheetId="7">#REF!</definedName>
    <definedName name="whvhn4kg25bcn2skpkb3bqydz4" localSheetId="11">#REF!</definedName>
    <definedName name="whvhn4kg25bcn2skpkb3bqydz4" localSheetId="0">#REF!</definedName>
    <definedName name="whvhn4kg25bcn2skpkb3bqydz4" localSheetId="3">#REF!</definedName>
    <definedName name="whvhn4kg25bcn2skpkb3bqydz4" localSheetId="4">#REF!</definedName>
    <definedName name="whvhn4kg25bcn2skpkb3bqydz4">#REF!</definedName>
    <definedName name="wqazcjs4o12a5adpyzuqhb5cko" localSheetId="7">#REF!</definedName>
    <definedName name="wqazcjs4o12a5adpyzuqhb5cko" localSheetId="11">#REF!</definedName>
    <definedName name="wqazcjs4o12a5adpyzuqhb5cko" localSheetId="0">#REF!</definedName>
    <definedName name="wqazcjs4o12a5adpyzuqhb5cko" localSheetId="3">#REF!</definedName>
    <definedName name="wqazcjs4o12a5adpyzuqhb5cko" localSheetId="4">#REF!</definedName>
    <definedName name="wqazcjs4o12a5adpyzuqhb5cko">#REF!</definedName>
    <definedName name="x50bwhcspt2rtgjg0vg0hfk2ns" localSheetId="7">#REF!</definedName>
    <definedName name="x50bwhcspt2rtgjg0vg0hfk2ns" localSheetId="11">#REF!</definedName>
    <definedName name="x50bwhcspt2rtgjg0vg0hfk2ns" localSheetId="0">#REF!</definedName>
    <definedName name="x50bwhcspt2rtgjg0vg0hfk2ns" localSheetId="3">#REF!</definedName>
    <definedName name="x50bwhcspt2rtgjg0vg0hfk2ns" localSheetId="4">#REF!</definedName>
    <definedName name="x50bwhcspt2rtgjg0vg0hfk2ns">#REF!</definedName>
    <definedName name="xfiudkw3z5aq3govpiyzsxyki0" localSheetId="7">#REF!</definedName>
    <definedName name="xfiudkw3z5aq3govpiyzsxyki0" localSheetId="11">#REF!</definedName>
    <definedName name="xfiudkw3z5aq3govpiyzsxyki0" localSheetId="0">#REF!</definedName>
    <definedName name="xfiudkw3z5aq3govpiyzsxyki0" localSheetId="3">#REF!</definedName>
    <definedName name="xfiudkw3z5aq3govpiyzsxyki0" localSheetId="4">#REF!</definedName>
    <definedName name="xfiudkw3z5aq3govpiyzsxyki0">#REF!</definedName>
    <definedName name="_xlnm.Print_Titles" localSheetId="7">'Прил 14'!$8:$9</definedName>
    <definedName name="_xlnm.Print_Titles" localSheetId="12">'Прил 18'!$13:$14</definedName>
    <definedName name="_xlnm.Print_Titles" localSheetId="0">'Прил 4 '!$8:$9</definedName>
    <definedName name="_xlnm.Print_Titles" localSheetId="1">'Прил 5'!$10:$11</definedName>
    <definedName name="_xlnm.Print_Titles" localSheetId="3">'Прил 7'!$9:$10</definedName>
    <definedName name="_xlnm.Print_Titles" localSheetId="4">'Прил 8'!$9:$9</definedName>
    <definedName name="_xlnm.Print_Area" localSheetId="6">'Прил 12'!$A$1:$H$22</definedName>
    <definedName name="_xlnm.Print_Area" localSheetId="7">'Прил 14'!$A$1:$M$211</definedName>
    <definedName name="_xlnm.Print_Area" localSheetId="0">'Прил 4 '!$A$1:$O$275</definedName>
    <definedName name="_xlnm.Print_Area" localSheetId="1">'Прил 5'!$A$1:$S$904</definedName>
    <definedName name="_xlnm.Print_Area" localSheetId="2">'Прил 6'!$A$1:$H$62</definedName>
    <definedName name="_xlnm.Print_Area" localSheetId="4">'Прил 8'!$A$1:$C$12</definedName>
    <definedName name="_xlnm.Print_Area" localSheetId="5">'Прил 9'!$A$1:$B$23</definedName>
    <definedName name="_xlnm.Print_Area" localSheetId="8">прил15!$A$1:$V$745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7" i="97" l="1"/>
  <c r="H544" i="74" l="1"/>
  <c r="H543" i="74" s="1"/>
  <c r="I544" i="74"/>
  <c r="I543" i="74" s="1"/>
  <c r="J544" i="74"/>
  <c r="J543" i="74" s="1"/>
  <c r="K544" i="74"/>
  <c r="K543" i="74" s="1"/>
  <c r="L544" i="74"/>
  <c r="L543" i="74" s="1"/>
  <c r="M544" i="74"/>
  <c r="M543" i="74" s="1"/>
  <c r="N544" i="74"/>
  <c r="N543" i="74" s="1"/>
  <c r="O544" i="74"/>
  <c r="O543" i="74" s="1"/>
  <c r="P544" i="74"/>
  <c r="P543" i="74" s="1"/>
  <c r="Q544" i="74"/>
  <c r="Q543" i="74" s="1"/>
  <c r="R544" i="74"/>
  <c r="R543" i="74" s="1"/>
  <c r="H546" i="74"/>
  <c r="I546" i="74"/>
  <c r="J546" i="74"/>
  <c r="K546" i="74"/>
  <c r="L546" i="74"/>
  <c r="M546" i="74"/>
  <c r="N546" i="74"/>
  <c r="O546" i="74"/>
  <c r="P546" i="74"/>
  <c r="Q546" i="74"/>
  <c r="R546" i="74"/>
  <c r="H563" i="74"/>
  <c r="I563" i="74"/>
  <c r="J563" i="74"/>
  <c r="K563" i="74"/>
  <c r="L563" i="74"/>
  <c r="M563" i="74"/>
  <c r="N563" i="74"/>
  <c r="O563" i="74"/>
  <c r="P563" i="74"/>
  <c r="Q563" i="74"/>
  <c r="R563" i="74"/>
  <c r="G563" i="74"/>
  <c r="H565" i="74"/>
  <c r="I565" i="74"/>
  <c r="J565" i="74"/>
  <c r="K565" i="74"/>
  <c r="L565" i="74"/>
  <c r="M565" i="74"/>
  <c r="N565" i="74"/>
  <c r="O565" i="74"/>
  <c r="P565" i="74"/>
  <c r="Q565" i="74"/>
  <c r="R565" i="74"/>
  <c r="G565" i="74"/>
  <c r="S545" i="74"/>
  <c r="D237" i="76" s="1"/>
  <c r="D236" i="76" s="1"/>
  <c r="D235" i="76" s="1"/>
  <c r="S547" i="74"/>
  <c r="D239" i="76" s="1"/>
  <c r="D238" i="76" s="1"/>
  <c r="G544" i="74"/>
  <c r="G546" i="74"/>
  <c r="N443" i="74"/>
  <c r="S544" i="74" l="1"/>
  <c r="G543" i="74"/>
  <c r="S543" i="74" s="1"/>
  <c r="S563" i="74"/>
  <c r="S546" i="74"/>
  <c r="O256" i="97"/>
  <c r="O255" i="97"/>
  <c r="O127" i="97"/>
  <c r="O126" i="97"/>
  <c r="L125" i="97"/>
  <c r="L252" i="97"/>
  <c r="L241" i="97" s="1"/>
  <c r="J252" i="97"/>
  <c r="J231" i="97"/>
  <c r="L101" i="97"/>
  <c r="O252" i="97" l="1"/>
  <c r="O125" i="97"/>
  <c r="N759" i="74" l="1"/>
  <c r="N124" i="74"/>
  <c r="N123" i="74"/>
  <c r="N59" i="74"/>
  <c r="N58" i="74"/>
  <c r="S37" i="74"/>
  <c r="D31" i="76" s="1"/>
  <c r="H34" i="74"/>
  <c r="I34" i="74"/>
  <c r="J34" i="74"/>
  <c r="K34" i="74"/>
  <c r="L34" i="74"/>
  <c r="M34" i="74"/>
  <c r="N34" i="74"/>
  <c r="O34" i="74"/>
  <c r="P34" i="74"/>
  <c r="Q34" i="74"/>
  <c r="R34" i="74"/>
  <c r="G34" i="74"/>
  <c r="N33" i="74"/>
  <c r="N32" i="74"/>
  <c r="N429" i="74"/>
  <c r="N448" i="74"/>
  <c r="N807" i="74"/>
  <c r="N583" i="74"/>
  <c r="S579" i="74"/>
  <c r="D516" i="76" s="1"/>
  <c r="D515" i="76" s="1"/>
  <c r="H578" i="74"/>
  <c r="I578" i="74"/>
  <c r="J578" i="74"/>
  <c r="K578" i="74"/>
  <c r="L578" i="74"/>
  <c r="M578" i="74"/>
  <c r="N578" i="74"/>
  <c r="O578" i="74"/>
  <c r="P578" i="74"/>
  <c r="Q578" i="74"/>
  <c r="R578" i="74"/>
  <c r="G578" i="74"/>
  <c r="S578" i="74" l="1"/>
  <c r="N505" i="74"/>
  <c r="L244" i="97" l="1"/>
  <c r="L111" i="97"/>
  <c r="O114" i="97"/>
  <c r="O115" i="97"/>
  <c r="O113" i="97"/>
  <c r="O112" i="97"/>
  <c r="O121" i="97"/>
  <c r="O120" i="97" s="1"/>
  <c r="L120" i="97"/>
  <c r="N34" i="97"/>
  <c r="O111" i="97" l="1"/>
  <c r="D17" i="91"/>
  <c r="D15" i="91"/>
  <c r="H22" i="91"/>
  <c r="N445" i="74"/>
  <c r="U464" i="80" l="1"/>
  <c r="H502" i="74"/>
  <c r="I502" i="74"/>
  <c r="J502" i="74"/>
  <c r="K502" i="74"/>
  <c r="L502" i="74"/>
  <c r="M502" i="74"/>
  <c r="N502" i="74"/>
  <c r="O502" i="74"/>
  <c r="P502" i="74"/>
  <c r="Q502" i="74"/>
  <c r="R502" i="74"/>
  <c r="H500" i="74"/>
  <c r="H499" i="74" s="1"/>
  <c r="I500" i="74"/>
  <c r="I499" i="74" s="1"/>
  <c r="J500" i="74"/>
  <c r="J499" i="74" s="1"/>
  <c r="K500" i="74"/>
  <c r="K499" i="74" s="1"/>
  <c r="L500" i="74"/>
  <c r="L499" i="74" s="1"/>
  <c r="M500" i="74"/>
  <c r="M499" i="74" s="1"/>
  <c r="N500" i="74"/>
  <c r="N499" i="74" s="1"/>
  <c r="O500" i="74"/>
  <c r="O499" i="74" s="1"/>
  <c r="P500" i="74"/>
  <c r="P499" i="74" s="1"/>
  <c r="Q500" i="74"/>
  <c r="Q499" i="74" s="1"/>
  <c r="R500" i="74"/>
  <c r="R499" i="74" s="1"/>
  <c r="G500" i="74"/>
  <c r="G499" i="74" s="1"/>
  <c r="G502" i="74"/>
  <c r="S589" i="74" l="1"/>
  <c r="D532" i="76" s="1"/>
  <c r="D531" i="76" s="1"/>
  <c r="H588" i="74"/>
  <c r="I588" i="74"/>
  <c r="J588" i="74"/>
  <c r="K588" i="74"/>
  <c r="L588" i="74"/>
  <c r="M588" i="74"/>
  <c r="N588" i="74"/>
  <c r="O588" i="74"/>
  <c r="P588" i="74"/>
  <c r="Q588" i="74"/>
  <c r="R588" i="74"/>
  <c r="G588" i="74"/>
  <c r="S588" i="74" l="1"/>
  <c r="M484" i="74"/>
  <c r="M483" i="74" s="1"/>
  <c r="S485" i="74"/>
  <c r="S484" i="74" s="1"/>
  <c r="S483" i="74" s="1"/>
  <c r="D223" i="76" l="1"/>
  <c r="D222" i="76" s="1"/>
  <c r="G22" i="91"/>
  <c r="S85" i="74" l="1"/>
  <c r="D96" i="76" s="1"/>
  <c r="D95" i="76" s="1"/>
  <c r="M84" i="74"/>
  <c r="S84" i="74" s="1"/>
  <c r="K163" i="97" l="1"/>
  <c r="O181" i="97"/>
  <c r="M416" i="74" l="1"/>
  <c r="M67" i="74" l="1"/>
  <c r="S67" i="74" s="1"/>
  <c r="M66" i="74"/>
  <c r="M65" i="74" s="1"/>
  <c r="S65" i="74" s="1"/>
  <c r="S68" i="74"/>
  <c r="D64" i="76" s="1"/>
  <c r="D63" i="76" s="1"/>
  <c r="S66" i="74" l="1"/>
  <c r="D62" i="76" s="1"/>
  <c r="D61" i="76" s="1"/>
  <c r="M443" i="74"/>
  <c r="K165" i="97" l="1"/>
  <c r="M448" i="74" l="1"/>
  <c r="M429" i="74"/>
  <c r="M441" i="74"/>
  <c r="M759" i="74"/>
  <c r="M59" i="74"/>
  <c r="M58" i="74"/>
  <c r="M827" i="74"/>
  <c r="M682" i="74" l="1"/>
  <c r="M680" i="74"/>
  <c r="M504" i="74"/>
  <c r="M498" i="74" s="1"/>
  <c r="S503" i="74"/>
  <c r="D509" i="76" s="1"/>
  <c r="D508" i="76" s="1"/>
  <c r="S502" i="74"/>
  <c r="S501" i="74"/>
  <c r="D507" i="76" s="1"/>
  <c r="D506" i="76" s="1"/>
  <c r="S500" i="74"/>
  <c r="S566" i="74"/>
  <c r="S564" i="74"/>
  <c r="D497" i="76" s="1"/>
  <c r="D496" i="76" s="1"/>
  <c r="S565" i="74" l="1"/>
  <c r="D499" i="76" s="1"/>
  <c r="D498" i="76" s="1"/>
  <c r="S499" i="74"/>
  <c r="K101" i="97"/>
  <c r="J101" i="97"/>
  <c r="K35" i="97"/>
  <c r="O35" i="97" s="1"/>
  <c r="O34" i="97" s="1"/>
  <c r="K271" i="97" l="1"/>
  <c r="K268" i="97" s="1"/>
  <c r="K243" i="97"/>
  <c r="J241" i="97"/>
  <c r="K148" i="97"/>
  <c r="H148" i="97"/>
  <c r="J88" i="97"/>
  <c r="K93" i="97"/>
  <c r="K66" i="97"/>
  <c r="K65" i="97" s="1"/>
  <c r="H66" i="97"/>
  <c r="O82" i="97"/>
  <c r="O83" i="97"/>
  <c r="K78" i="97"/>
  <c r="H78" i="97"/>
  <c r="O84" i="97"/>
  <c r="K259" i="97"/>
  <c r="K258" i="97" s="1"/>
  <c r="O179" i="97" l="1"/>
  <c r="O178" i="97"/>
  <c r="O180" i="97"/>
  <c r="K156" i="97" l="1"/>
  <c r="O187" i="97"/>
  <c r="O186" i="97"/>
  <c r="I101" i="97" l="1"/>
  <c r="H101" i="97"/>
  <c r="S505" i="74" l="1"/>
  <c r="D538" i="76" s="1"/>
  <c r="D537" i="76" s="1"/>
  <c r="H504" i="74"/>
  <c r="H498" i="74" s="1"/>
  <c r="I504" i="74"/>
  <c r="I498" i="74" s="1"/>
  <c r="J504" i="74"/>
  <c r="J498" i="74" s="1"/>
  <c r="K504" i="74"/>
  <c r="K498" i="74" s="1"/>
  <c r="L504" i="74"/>
  <c r="L498" i="74" s="1"/>
  <c r="N504" i="74"/>
  <c r="N498" i="74" s="1"/>
  <c r="O504" i="74"/>
  <c r="O498" i="74" s="1"/>
  <c r="P504" i="74"/>
  <c r="P498" i="74" s="1"/>
  <c r="Q504" i="74"/>
  <c r="Q498" i="74" s="1"/>
  <c r="R504" i="74"/>
  <c r="R498" i="74" s="1"/>
  <c r="G504" i="74"/>
  <c r="G498" i="74" s="1"/>
  <c r="S504" i="74" l="1"/>
  <c r="S498" i="74"/>
  <c r="S807" i="74"/>
  <c r="H806" i="74"/>
  <c r="I806" i="74"/>
  <c r="J806" i="74"/>
  <c r="K806" i="74"/>
  <c r="L806" i="74"/>
  <c r="M806" i="74"/>
  <c r="N806" i="74"/>
  <c r="O806" i="74"/>
  <c r="P806" i="74"/>
  <c r="Q806" i="74"/>
  <c r="R806" i="74"/>
  <c r="G806" i="74"/>
  <c r="M536" i="74"/>
  <c r="S605" i="74"/>
  <c r="D289" i="76" s="1"/>
  <c r="D288" i="76" s="1"/>
  <c r="S607" i="74"/>
  <c r="D291" i="76" s="1"/>
  <c r="D290" i="76" s="1"/>
  <c r="H604" i="74"/>
  <c r="H603" i="74" s="1"/>
  <c r="I604" i="74"/>
  <c r="I603" i="74" s="1"/>
  <c r="J604" i="74"/>
  <c r="J603" i="74" s="1"/>
  <c r="K604" i="74"/>
  <c r="K603" i="74" s="1"/>
  <c r="L604" i="74"/>
  <c r="L603" i="74" s="1"/>
  <c r="M604" i="74"/>
  <c r="M603" i="74" s="1"/>
  <c r="N604" i="74"/>
  <c r="N603" i="74" s="1"/>
  <c r="O604" i="74"/>
  <c r="O603" i="74" s="1"/>
  <c r="P604" i="74"/>
  <c r="P603" i="74" s="1"/>
  <c r="Q604" i="74"/>
  <c r="Q603" i="74" s="1"/>
  <c r="R604" i="74"/>
  <c r="R603" i="74" s="1"/>
  <c r="H606" i="74"/>
  <c r="I606" i="74"/>
  <c r="J606" i="74"/>
  <c r="K606" i="74"/>
  <c r="L606" i="74"/>
  <c r="M606" i="74"/>
  <c r="N606" i="74"/>
  <c r="O606" i="74"/>
  <c r="P606" i="74"/>
  <c r="Q606" i="74"/>
  <c r="R606" i="74"/>
  <c r="G604" i="74"/>
  <c r="G603" i="74" s="1"/>
  <c r="G606" i="74"/>
  <c r="M74" i="74"/>
  <c r="S680" i="74"/>
  <c r="D383" i="76" s="1"/>
  <c r="D382" i="76" s="1"/>
  <c r="S682" i="74"/>
  <c r="D385" i="76" s="1"/>
  <c r="D384" i="76" s="1"/>
  <c r="H679" i="74"/>
  <c r="I679" i="74"/>
  <c r="J679" i="74"/>
  <c r="K679" i="74"/>
  <c r="L679" i="74"/>
  <c r="M679" i="74"/>
  <c r="N679" i="74"/>
  <c r="O679" i="74"/>
  <c r="P679" i="74"/>
  <c r="Q679" i="74"/>
  <c r="R679" i="74"/>
  <c r="H681" i="74"/>
  <c r="I681" i="74"/>
  <c r="J681" i="74"/>
  <c r="K681" i="74"/>
  <c r="L681" i="74"/>
  <c r="M681" i="74"/>
  <c r="N681" i="74"/>
  <c r="O681" i="74"/>
  <c r="P681" i="74"/>
  <c r="Q681" i="74"/>
  <c r="R681" i="74"/>
  <c r="G679" i="74"/>
  <c r="G681" i="74"/>
  <c r="S806" i="74" l="1"/>
  <c r="R678" i="74"/>
  <c r="R677" i="74" s="1"/>
  <c r="N678" i="74"/>
  <c r="N677" i="74" s="1"/>
  <c r="J678" i="74"/>
  <c r="J677" i="74" s="1"/>
  <c r="S603" i="74"/>
  <c r="Q678" i="74"/>
  <c r="Q677" i="74" s="1"/>
  <c r="M678" i="74"/>
  <c r="M677" i="74" s="1"/>
  <c r="I678" i="74"/>
  <c r="I677" i="74" s="1"/>
  <c r="S606" i="74"/>
  <c r="S604" i="74"/>
  <c r="S679" i="74"/>
  <c r="G678" i="74"/>
  <c r="G677" i="74" s="1"/>
  <c r="P678" i="74"/>
  <c r="P677" i="74" s="1"/>
  <c r="L678" i="74"/>
  <c r="L677" i="74" s="1"/>
  <c r="H678" i="74"/>
  <c r="H677" i="74" s="1"/>
  <c r="O678" i="74"/>
  <c r="O677" i="74" s="1"/>
  <c r="K678" i="74"/>
  <c r="K677" i="74" s="1"/>
  <c r="D381" i="76"/>
  <c r="D380" i="76" s="1"/>
  <c r="S681" i="74"/>
  <c r="F20" i="100"/>
  <c r="E20" i="100"/>
  <c r="D20" i="100"/>
  <c r="S678" i="74" l="1"/>
  <c r="S677" i="74"/>
  <c r="J165" i="97"/>
  <c r="J163" i="97"/>
  <c r="J162" i="97"/>
  <c r="K158" i="98" l="1"/>
  <c r="K157" i="98"/>
  <c r="S896" i="74" l="1"/>
  <c r="D559" i="76" s="1"/>
  <c r="I894" i="74"/>
  <c r="J894" i="74"/>
  <c r="K894" i="74"/>
  <c r="L894" i="74"/>
  <c r="M894" i="74"/>
  <c r="N894" i="74"/>
  <c r="O894" i="74"/>
  <c r="P894" i="74"/>
  <c r="Q894" i="74"/>
  <c r="R894" i="74"/>
  <c r="G894" i="74"/>
  <c r="L58" i="74"/>
  <c r="L445" i="74" l="1"/>
  <c r="L226" i="74"/>
  <c r="L299" i="74" l="1"/>
  <c r="J47" i="97" l="1"/>
  <c r="J94" i="97"/>
  <c r="J254" i="97"/>
  <c r="O91" i="97"/>
  <c r="O90" i="97"/>
  <c r="O253" i="97"/>
  <c r="J125" i="97"/>
  <c r="J259" i="97"/>
  <c r="J274" i="97"/>
  <c r="J93" i="97" l="1"/>
  <c r="O94" i="97"/>
  <c r="J258" i="97"/>
  <c r="J257" i="97" s="1"/>
  <c r="O259" i="97"/>
  <c r="O254" i="97"/>
  <c r="S573" i="74"/>
  <c r="D505" i="76" s="1"/>
  <c r="D504" i="76" s="1"/>
  <c r="H572" i="74"/>
  <c r="I572" i="74"/>
  <c r="J572" i="74"/>
  <c r="K572" i="74"/>
  <c r="L572" i="74"/>
  <c r="M572" i="74"/>
  <c r="N572" i="74"/>
  <c r="O572" i="74"/>
  <c r="P572" i="74"/>
  <c r="Q572" i="74"/>
  <c r="R572" i="74"/>
  <c r="G572" i="74"/>
  <c r="L583" i="74"/>
  <c r="L448" i="74"/>
  <c r="L443" i="74"/>
  <c r="L441" i="74" s="1"/>
  <c r="J86" i="97" l="1"/>
  <c r="O93" i="97"/>
  <c r="S572" i="74"/>
  <c r="N832" i="74"/>
  <c r="N831" i="74" s="1"/>
  <c r="N830" i="74" s="1"/>
  <c r="L833" i="74"/>
  <c r="L832" i="74" s="1"/>
  <c r="L831" i="74" s="1"/>
  <c r="L830" i="74" s="1"/>
  <c r="K191" i="98"/>
  <c r="K192" i="98"/>
  <c r="L14" i="98"/>
  <c r="L15" i="98"/>
  <c r="L16" i="98"/>
  <c r="L17" i="98"/>
  <c r="L21" i="98"/>
  <c r="L22" i="98"/>
  <c r="L24" i="98"/>
  <c r="L25" i="98"/>
  <c r="L27" i="98"/>
  <c r="L28" i="98"/>
  <c r="L30" i="98"/>
  <c r="L31" i="98"/>
  <c r="L35" i="98"/>
  <c r="L37" i="98"/>
  <c r="L39" i="98"/>
  <c r="L41" i="98"/>
  <c r="L44" i="98"/>
  <c r="L47" i="98"/>
  <c r="L51" i="98"/>
  <c r="L52" i="98"/>
  <c r="L53" i="98"/>
  <c r="L54" i="98"/>
  <c r="L55" i="98"/>
  <c r="L57" i="98"/>
  <c r="L58" i="98"/>
  <c r="L60" i="98"/>
  <c r="L61" i="98"/>
  <c r="L63" i="98"/>
  <c r="L64" i="98"/>
  <c r="L67" i="98"/>
  <c r="L68" i="98"/>
  <c r="L71" i="98"/>
  <c r="L72" i="98"/>
  <c r="L74" i="98"/>
  <c r="L79" i="98"/>
  <c r="L80" i="98"/>
  <c r="L81" i="98"/>
  <c r="L82" i="98"/>
  <c r="L84" i="98"/>
  <c r="L86" i="98"/>
  <c r="L87" i="98"/>
  <c r="L88" i="98"/>
  <c r="L92" i="98"/>
  <c r="L93" i="98"/>
  <c r="L96" i="98"/>
  <c r="L97" i="98"/>
  <c r="L98" i="98"/>
  <c r="L99" i="98"/>
  <c r="L100" i="98"/>
  <c r="L102" i="98"/>
  <c r="L103" i="98"/>
  <c r="L106" i="98"/>
  <c r="L108" i="98"/>
  <c r="L110" i="98"/>
  <c r="L112" i="98"/>
  <c r="L113" i="98"/>
  <c r="L114" i="98"/>
  <c r="L116" i="98"/>
  <c r="L119" i="98"/>
  <c r="L124" i="98"/>
  <c r="L127" i="98"/>
  <c r="L129" i="98"/>
  <c r="L131" i="98"/>
  <c r="L133" i="98"/>
  <c r="L135" i="98"/>
  <c r="L137" i="98"/>
  <c r="L143" i="98"/>
  <c r="L145" i="98"/>
  <c r="L150" i="98"/>
  <c r="L151" i="98"/>
  <c r="L152" i="98"/>
  <c r="L153" i="98"/>
  <c r="L154" i="98"/>
  <c r="L155" i="98"/>
  <c r="L161" i="98"/>
  <c r="L162" i="98"/>
  <c r="L163" i="98"/>
  <c r="L164" i="98"/>
  <c r="L165" i="98"/>
  <c r="L166" i="98"/>
  <c r="L167" i="98"/>
  <c r="L168" i="98"/>
  <c r="L169" i="98"/>
  <c r="L170" i="98"/>
  <c r="L171" i="98"/>
  <c r="L172" i="98"/>
  <c r="L173" i="98"/>
  <c r="L175" i="98"/>
  <c r="L177" i="98"/>
  <c r="L179" i="98"/>
  <c r="L181" i="98"/>
  <c r="L183" i="98"/>
  <c r="L185" i="98"/>
  <c r="L187" i="98"/>
  <c r="L189" i="98"/>
  <c r="L193" i="98"/>
  <c r="L194" i="98"/>
  <c r="L195" i="98"/>
  <c r="L196" i="98"/>
  <c r="L199" i="98"/>
  <c r="L200" i="98"/>
  <c r="L201" i="98"/>
  <c r="L203" i="98"/>
  <c r="L205" i="98"/>
  <c r="L207" i="98"/>
  <c r="L208" i="98"/>
  <c r="L211" i="98"/>
  <c r="H157" i="98"/>
  <c r="H158" i="98"/>
  <c r="H159" i="98"/>
  <c r="H160" i="98"/>
  <c r="H192" i="98"/>
  <c r="H191" i="98"/>
  <c r="G191" i="98"/>
  <c r="I14" i="98"/>
  <c r="I15" i="98"/>
  <c r="I16" i="98"/>
  <c r="I17" i="98"/>
  <c r="I21" i="98"/>
  <c r="I22" i="98"/>
  <c r="I24" i="98"/>
  <c r="I25" i="98"/>
  <c r="I27" i="98"/>
  <c r="I28" i="98"/>
  <c r="I30" i="98"/>
  <c r="I31" i="98"/>
  <c r="I35" i="98"/>
  <c r="I37" i="98"/>
  <c r="I39" i="98"/>
  <c r="I41" i="98"/>
  <c r="I44" i="98"/>
  <c r="I47" i="98"/>
  <c r="I51" i="98"/>
  <c r="I52" i="98"/>
  <c r="I53" i="98"/>
  <c r="I54" i="98"/>
  <c r="I55" i="98"/>
  <c r="I57" i="98"/>
  <c r="I58" i="98"/>
  <c r="I60" i="98"/>
  <c r="I61" i="98"/>
  <c r="I63" i="98"/>
  <c r="I64" i="98"/>
  <c r="I67" i="98"/>
  <c r="I68" i="98"/>
  <c r="I71" i="98"/>
  <c r="I72" i="98"/>
  <c r="I74" i="98"/>
  <c r="I79" i="98"/>
  <c r="I80" i="98"/>
  <c r="I81" i="98"/>
  <c r="I82" i="98"/>
  <c r="I84" i="98"/>
  <c r="I86" i="98"/>
  <c r="I87" i="98"/>
  <c r="I88" i="98"/>
  <c r="I92" i="98"/>
  <c r="I93" i="98"/>
  <c r="I96" i="98"/>
  <c r="I97" i="98"/>
  <c r="I98" i="98"/>
  <c r="I99" i="98"/>
  <c r="I100" i="98"/>
  <c r="I102" i="98"/>
  <c r="I103" i="98"/>
  <c r="I106" i="98"/>
  <c r="I108" i="98"/>
  <c r="I110" i="98"/>
  <c r="I112" i="98"/>
  <c r="I113" i="98"/>
  <c r="I114" i="98"/>
  <c r="I116" i="98"/>
  <c r="I119" i="98"/>
  <c r="I124" i="98"/>
  <c r="I127" i="98"/>
  <c r="I129" i="98"/>
  <c r="I131" i="98"/>
  <c r="I133" i="98"/>
  <c r="I135" i="98"/>
  <c r="I137" i="98"/>
  <c r="I143" i="98"/>
  <c r="I145" i="98"/>
  <c r="I150" i="98"/>
  <c r="I151" i="98"/>
  <c r="I152" i="98"/>
  <c r="I153" i="98"/>
  <c r="I154" i="98"/>
  <c r="I155" i="98"/>
  <c r="I161" i="98"/>
  <c r="I162" i="98"/>
  <c r="I163" i="98"/>
  <c r="I164" i="98"/>
  <c r="I165" i="98"/>
  <c r="I166" i="98"/>
  <c r="I167" i="98"/>
  <c r="I168" i="98"/>
  <c r="I169" i="98"/>
  <c r="I170" i="98"/>
  <c r="I171" i="98"/>
  <c r="I172" i="98"/>
  <c r="I173" i="98"/>
  <c r="I175" i="98"/>
  <c r="I177" i="98"/>
  <c r="I179" i="98"/>
  <c r="I181" i="98"/>
  <c r="I183" i="98"/>
  <c r="I185" i="98"/>
  <c r="I187" i="98"/>
  <c r="I189" i="98"/>
  <c r="I193" i="98"/>
  <c r="I194" i="98"/>
  <c r="I195" i="98"/>
  <c r="I196" i="98"/>
  <c r="I199" i="98"/>
  <c r="I200" i="98"/>
  <c r="I201" i="98"/>
  <c r="I203" i="98"/>
  <c r="I205" i="98"/>
  <c r="I207" i="98"/>
  <c r="I208" i="98"/>
  <c r="I211" i="98"/>
  <c r="K190" i="98" l="1"/>
  <c r="K156" i="98" s="1"/>
  <c r="H190" i="98"/>
  <c r="H156" i="98" s="1"/>
  <c r="I191" i="98"/>
  <c r="O273" i="97"/>
  <c r="O274" i="97"/>
  <c r="J272" i="97"/>
  <c r="J271" i="97" l="1"/>
  <c r="J268" i="97" s="1"/>
  <c r="I162" i="97"/>
  <c r="H162" i="97"/>
  <c r="I165" i="97"/>
  <c r="I163" i="97"/>
  <c r="O182" i="97"/>
  <c r="H165" i="97" l="1"/>
  <c r="H163" i="97"/>
  <c r="B18" i="88" l="1"/>
  <c r="U3" i="74" l="1"/>
  <c r="U5" i="74"/>
  <c r="U6" i="74"/>
  <c r="U7" i="74"/>
  <c r="U9" i="74"/>
  <c r="U10" i="74"/>
  <c r="C22" i="99" l="1"/>
  <c r="B22" i="99"/>
  <c r="C20" i="99"/>
  <c r="B20" i="99"/>
  <c r="C18" i="99"/>
  <c r="C16" i="99" s="1"/>
  <c r="B16" i="99"/>
  <c r="C14" i="99"/>
  <c r="C13" i="99" s="1"/>
  <c r="B13" i="99"/>
  <c r="B12" i="99" l="1"/>
  <c r="C12" i="99"/>
  <c r="D20" i="96"/>
  <c r="H275" i="97" l="1"/>
  <c r="O275" i="97" s="1"/>
  <c r="H272" i="97"/>
  <c r="H271" i="97" l="1"/>
  <c r="H244" i="97"/>
  <c r="O244" i="97" s="1"/>
  <c r="O267" i="97" l="1"/>
  <c r="O266" i="97"/>
  <c r="O265" i="97"/>
  <c r="E9" i="91" l="1"/>
  <c r="I443" i="74" l="1"/>
  <c r="V758" i="80"/>
  <c r="U758" i="80"/>
  <c r="V745" i="80"/>
  <c r="U745" i="80"/>
  <c r="T744" i="80"/>
  <c r="T743" i="80" s="1"/>
  <c r="T742" i="80" s="1"/>
  <c r="T741" i="80" s="1"/>
  <c r="S744" i="80"/>
  <c r="S743" i="80" s="1"/>
  <c r="S742" i="80" s="1"/>
  <c r="S741" i="80" s="1"/>
  <c r="R744" i="80"/>
  <c r="R743" i="80" s="1"/>
  <c r="R742" i="80" s="1"/>
  <c r="R741" i="80" s="1"/>
  <c r="Q744" i="80"/>
  <c r="Q743" i="80" s="1"/>
  <c r="Q742" i="80" s="1"/>
  <c r="Q741" i="80" s="1"/>
  <c r="P744" i="80"/>
  <c r="P743" i="80" s="1"/>
  <c r="P742" i="80" s="1"/>
  <c r="P741" i="80" s="1"/>
  <c r="O744" i="80"/>
  <c r="O743" i="80" s="1"/>
  <c r="O742" i="80" s="1"/>
  <c r="O741" i="80" s="1"/>
  <c r="N744" i="80"/>
  <c r="M744" i="80"/>
  <c r="L744" i="80"/>
  <c r="L743" i="80" s="1"/>
  <c r="L742" i="80" s="1"/>
  <c r="L741" i="80" s="1"/>
  <c r="K744" i="80"/>
  <c r="K743" i="80" s="1"/>
  <c r="K742" i="80" s="1"/>
  <c r="K741" i="80" s="1"/>
  <c r="J744" i="80"/>
  <c r="I744" i="80"/>
  <c r="I743" i="80" s="1"/>
  <c r="I742" i="80" s="1"/>
  <c r="I741" i="80" s="1"/>
  <c r="H744" i="80"/>
  <c r="H743" i="80" s="1"/>
  <c r="H742" i="80" s="1"/>
  <c r="H741" i="80" s="1"/>
  <c r="G744" i="80"/>
  <c r="G743" i="80" s="1"/>
  <c r="G742" i="80" s="1"/>
  <c r="G741" i="80" s="1"/>
  <c r="N743" i="80"/>
  <c r="N742" i="80" s="1"/>
  <c r="N741" i="80" s="1"/>
  <c r="M743" i="80"/>
  <c r="M742" i="80" s="1"/>
  <c r="M741" i="80" s="1"/>
  <c r="J743" i="80"/>
  <c r="J742" i="80" s="1"/>
  <c r="J741" i="80" s="1"/>
  <c r="V740" i="80"/>
  <c r="U740" i="80"/>
  <c r="J739" i="80"/>
  <c r="V739" i="80" s="1"/>
  <c r="H739" i="80"/>
  <c r="U739" i="80" s="1"/>
  <c r="T738" i="80"/>
  <c r="S738" i="80"/>
  <c r="R738" i="80"/>
  <c r="Q738" i="80"/>
  <c r="P738" i="80"/>
  <c r="O738" i="80"/>
  <c r="N738" i="80"/>
  <c r="M738" i="80"/>
  <c r="L738" i="80"/>
  <c r="K738" i="80"/>
  <c r="I738" i="80"/>
  <c r="H738" i="80"/>
  <c r="G738" i="80"/>
  <c r="J737" i="80"/>
  <c r="V737" i="80" s="1"/>
  <c r="H737" i="80"/>
  <c r="U737" i="80" s="1"/>
  <c r="T736" i="80"/>
  <c r="S736" i="80"/>
  <c r="R736" i="80"/>
  <c r="Q736" i="80"/>
  <c r="P736" i="80"/>
  <c r="O736" i="80"/>
  <c r="N736" i="80"/>
  <c r="M736" i="80"/>
  <c r="L736" i="80"/>
  <c r="K736" i="80"/>
  <c r="J736" i="80"/>
  <c r="I736" i="80"/>
  <c r="I735" i="80" s="1"/>
  <c r="I734" i="80" s="1"/>
  <c r="I733" i="80" s="1"/>
  <c r="G736" i="80"/>
  <c r="V730" i="80"/>
  <c r="U730" i="80"/>
  <c r="T729" i="80"/>
  <c r="T728" i="80" s="1"/>
  <c r="T727" i="80" s="1"/>
  <c r="S729" i="80"/>
  <c r="S728" i="80" s="1"/>
  <c r="S727" i="80" s="1"/>
  <c r="R729" i="80"/>
  <c r="R728" i="80" s="1"/>
  <c r="R727" i="80" s="1"/>
  <c r="Q729" i="80"/>
  <c r="Q728" i="80" s="1"/>
  <c r="Q727" i="80" s="1"/>
  <c r="P729" i="80"/>
  <c r="P728" i="80" s="1"/>
  <c r="P727" i="80" s="1"/>
  <c r="O729" i="80"/>
  <c r="O728" i="80" s="1"/>
  <c r="O727" i="80" s="1"/>
  <c r="N729" i="80"/>
  <c r="N728" i="80" s="1"/>
  <c r="N727" i="80" s="1"/>
  <c r="M729" i="80"/>
  <c r="M728" i="80" s="1"/>
  <c r="M727" i="80" s="1"/>
  <c r="L729" i="80"/>
  <c r="L728" i="80" s="1"/>
  <c r="L727" i="80" s="1"/>
  <c r="K729" i="80"/>
  <c r="K728" i="80" s="1"/>
  <c r="K727" i="80" s="1"/>
  <c r="J729" i="80"/>
  <c r="J728" i="80" s="1"/>
  <c r="J727" i="80" s="1"/>
  <c r="I729" i="80"/>
  <c r="I728" i="80" s="1"/>
  <c r="I727" i="80" s="1"/>
  <c r="H729" i="80"/>
  <c r="H728" i="80" s="1"/>
  <c r="H727" i="80" s="1"/>
  <c r="G729" i="80"/>
  <c r="G728" i="80" s="1"/>
  <c r="G727" i="80" s="1"/>
  <c r="V726" i="80"/>
  <c r="U726" i="80"/>
  <c r="T725" i="80"/>
  <c r="T724" i="80" s="1"/>
  <c r="T723" i="80" s="1"/>
  <c r="T722" i="80" s="1"/>
  <c r="S725" i="80"/>
  <c r="S724" i="80" s="1"/>
  <c r="S723" i="80" s="1"/>
  <c r="S722" i="80" s="1"/>
  <c r="R725" i="80"/>
  <c r="R724" i="80" s="1"/>
  <c r="R723" i="80" s="1"/>
  <c r="R722" i="80" s="1"/>
  <c r="Q725" i="80"/>
  <c r="Q724" i="80" s="1"/>
  <c r="Q723" i="80" s="1"/>
  <c r="Q722" i="80" s="1"/>
  <c r="P725" i="80"/>
  <c r="P724" i="80" s="1"/>
  <c r="P723" i="80" s="1"/>
  <c r="P722" i="80" s="1"/>
  <c r="O725" i="80"/>
  <c r="O724" i="80" s="1"/>
  <c r="O723" i="80" s="1"/>
  <c r="O722" i="80" s="1"/>
  <c r="N725" i="80"/>
  <c r="N724" i="80" s="1"/>
  <c r="N723" i="80" s="1"/>
  <c r="N722" i="80" s="1"/>
  <c r="M725" i="80"/>
  <c r="M724" i="80" s="1"/>
  <c r="M723" i="80" s="1"/>
  <c r="M722" i="80" s="1"/>
  <c r="L725" i="80"/>
  <c r="L724" i="80" s="1"/>
  <c r="L723" i="80" s="1"/>
  <c r="L722" i="80" s="1"/>
  <c r="K725" i="80"/>
  <c r="K724" i="80" s="1"/>
  <c r="K723" i="80" s="1"/>
  <c r="K722" i="80" s="1"/>
  <c r="J725" i="80"/>
  <c r="J724" i="80" s="1"/>
  <c r="J723" i="80" s="1"/>
  <c r="J722" i="80" s="1"/>
  <c r="I725" i="80"/>
  <c r="I724" i="80" s="1"/>
  <c r="I723" i="80" s="1"/>
  <c r="I722" i="80" s="1"/>
  <c r="H725" i="80"/>
  <c r="H724" i="80" s="1"/>
  <c r="H723" i="80" s="1"/>
  <c r="H722" i="80" s="1"/>
  <c r="G725" i="80"/>
  <c r="G724" i="80" s="1"/>
  <c r="G723" i="80" s="1"/>
  <c r="V719" i="80"/>
  <c r="U719" i="80"/>
  <c r="T718" i="80"/>
  <c r="T717" i="80" s="1"/>
  <c r="T716" i="80" s="1"/>
  <c r="T715" i="80" s="1"/>
  <c r="S718" i="80"/>
  <c r="S717" i="80" s="1"/>
  <c r="S716" i="80" s="1"/>
  <c r="S715" i="80" s="1"/>
  <c r="R718" i="80"/>
  <c r="Q718" i="80"/>
  <c r="P718" i="80"/>
  <c r="P717" i="80" s="1"/>
  <c r="P716" i="80" s="1"/>
  <c r="P715" i="80" s="1"/>
  <c r="O718" i="80"/>
  <c r="O717" i="80" s="1"/>
  <c r="O716" i="80" s="1"/>
  <c r="O715" i="80" s="1"/>
  <c r="N718" i="80"/>
  <c r="N717" i="80" s="1"/>
  <c r="N716" i="80" s="1"/>
  <c r="N715" i="80" s="1"/>
  <c r="M718" i="80"/>
  <c r="M717" i="80" s="1"/>
  <c r="M716" i="80" s="1"/>
  <c r="M715" i="80" s="1"/>
  <c r="L718" i="80"/>
  <c r="L717" i="80" s="1"/>
  <c r="L716" i="80" s="1"/>
  <c r="L715" i="80" s="1"/>
  <c r="K718" i="80"/>
  <c r="K717" i="80" s="1"/>
  <c r="K716" i="80" s="1"/>
  <c r="K715" i="80" s="1"/>
  <c r="J718" i="80"/>
  <c r="J717" i="80" s="1"/>
  <c r="J716" i="80" s="1"/>
  <c r="J715" i="80" s="1"/>
  <c r="I718" i="80"/>
  <c r="I717" i="80" s="1"/>
  <c r="I716" i="80" s="1"/>
  <c r="I715" i="80" s="1"/>
  <c r="H718" i="80"/>
  <c r="H717" i="80" s="1"/>
  <c r="H716" i="80" s="1"/>
  <c r="H715" i="80" s="1"/>
  <c r="G718" i="80"/>
  <c r="G717" i="80" s="1"/>
  <c r="G716" i="80" s="1"/>
  <c r="G715" i="80" s="1"/>
  <c r="R717" i="80"/>
  <c r="R716" i="80" s="1"/>
  <c r="R715" i="80" s="1"/>
  <c r="Q717" i="80"/>
  <c r="Q716" i="80" s="1"/>
  <c r="Q715" i="80" s="1"/>
  <c r="J714" i="80"/>
  <c r="V714" i="80" s="1"/>
  <c r="H714" i="80"/>
  <c r="U714" i="80" s="1"/>
  <c r="T713" i="80"/>
  <c r="S713" i="80"/>
  <c r="R713" i="80"/>
  <c r="Q713" i="80"/>
  <c r="P713" i="80"/>
  <c r="O713" i="80"/>
  <c r="N713" i="80"/>
  <c r="M713" i="80"/>
  <c r="L713" i="80"/>
  <c r="K713" i="80"/>
  <c r="J713" i="80"/>
  <c r="I713" i="80"/>
  <c r="G713" i="80"/>
  <c r="J712" i="80"/>
  <c r="V712" i="80" s="1"/>
  <c r="H712" i="80"/>
  <c r="U712" i="80" s="1"/>
  <c r="T711" i="80"/>
  <c r="S711" i="80"/>
  <c r="R711" i="80"/>
  <c r="Q711" i="80"/>
  <c r="P711" i="80"/>
  <c r="O711" i="80"/>
  <c r="N711" i="80"/>
  <c r="M711" i="80"/>
  <c r="L711" i="80"/>
  <c r="K711" i="80"/>
  <c r="I711" i="80"/>
  <c r="H711" i="80"/>
  <c r="G711" i="80"/>
  <c r="V707" i="80"/>
  <c r="U707" i="80"/>
  <c r="T706" i="80"/>
  <c r="S706" i="80"/>
  <c r="R706" i="80"/>
  <c r="Q706" i="80"/>
  <c r="P706" i="80"/>
  <c r="O706" i="80"/>
  <c r="N706" i="80"/>
  <c r="M706" i="80"/>
  <c r="L706" i="80"/>
  <c r="K706" i="80"/>
  <c r="J706" i="80"/>
  <c r="I706" i="80"/>
  <c r="H706" i="80"/>
  <c r="G706" i="80"/>
  <c r="V705" i="80"/>
  <c r="U705" i="80"/>
  <c r="V704" i="80"/>
  <c r="U704" i="80"/>
  <c r="V703" i="80"/>
  <c r="U703" i="80"/>
  <c r="V702" i="80"/>
  <c r="U702" i="80"/>
  <c r="T701" i="80"/>
  <c r="S701" i="80"/>
  <c r="R701" i="80"/>
  <c r="Q701" i="80"/>
  <c r="P701" i="80"/>
  <c r="O701" i="80"/>
  <c r="N701" i="80"/>
  <c r="M701" i="80"/>
  <c r="L701" i="80"/>
  <c r="K701" i="80"/>
  <c r="J701" i="80"/>
  <c r="I701" i="80"/>
  <c r="H701" i="80"/>
  <c r="G701" i="80"/>
  <c r="V700" i="80"/>
  <c r="U700" i="80"/>
  <c r="T699" i="80"/>
  <c r="S699" i="80"/>
  <c r="R699" i="80"/>
  <c r="Q699" i="80"/>
  <c r="P699" i="80"/>
  <c r="O699" i="80"/>
  <c r="N699" i="80"/>
  <c r="M699" i="80"/>
  <c r="L699" i="80"/>
  <c r="K699" i="80"/>
  <c r="J699" i="80"/>
  <c r="I699" i="80"/>
  <c r="H699" i="80"/>
  <c r="G699" i="80"/>
  <c r="V698" i="80"/>
  <c r="U698" i="80"/>
  <c r="T697" i="80"/>
  <c r="S697" i="80"/>
  <c r="R697" i="80"/>
  <c r="Q697" i="80"/>
  <c r="P697" i="80"/>
  <c r="O697" i="80"/>
  <c r="N697" i="80"/>
  <c r="M697" i="80"/>
  <c r="L697" i="80"/>
  <c r="K697" i="80"/>
  <c r="J697" i="80"/>
  <c r="I697" i="80"/>
  <c r="H697" i="80"/>
  <c r="G697" i="80"/>
  <c r="V696" i="80"/>
  <c r="U696" i="80"/>
  <c r="V695" i="80"/>
  <c r="U695" i="80"/>
  <c r="V694" i="80"/>
  <c r="U694" i="80"/>
  <c r="T693" i="80"/>
  <c r="T692" i="80" s="1"/>
  <c r="S693" i="80"/>
  <c r="S692" i="80" s="1"/>
  <c r="R693" i="80"/>
  <c r="Q693" i="80"/>
  <c r="P693" i="80"/>
  <c r="P692" i="80" s="1"/>
  <c r="O693" i="80"/>
  <c r="O692" i="80" s="1"/>
  <c r="N693" i="80"/>
  <c r="N692" i="80" s="1"/>
  <c r="M693" i="80"/>
  <c r="M692" i="80" s="1"/>
  <c r="L693" i="80"/>
  <c r="L692" i="80" s="1"/>
  <c r="K693" i="80"/>
  <c r="K692" i="80" s="1"/>
  <c r="J693" i="80"/>
  <c r="J692" i="80" s="1"/>
  <c r="I693" i="80"/>
  <c r="I692" i="80" s="1"/>
  <c r="H693" i="80"/>
  <c r="H692" i="80" s="1"/>
  <c r="G693" i="80"/>
  <c r="R692" i="80"/>
  <c r="Q692" i="80"/>
  <c r="V687" i="80"/>
  <c r="U687" i="80"/>
  <c r="T686" i="80"/>
  <c r="S686" i="80"/>
  <c r="R686" i="80"/>
  <c r="Q686" i="80"/>
  <c r="P686" i="80"/>
  <c r="O686" i="80"/>
  <c r="N686" i="80"/>
  <c r="M686" i="80"/>
  <c r="L686" i="80"/>
  <c r="K686" i="80"/>
  <c r="J686" i="80"/>
  <c r="I686" i="80"/>
  <c r="H686" i="80"/>
  <c r="G686" i="80"/>
  <c r="I685" i="80"/>
  <c r="I684" i="80" s="1"/>
  <c r="G685" i="80"/>
  <c r="U685" i="80" s="1"/>
  <c r="T684" i="80"/>
  <c r="T683" i="80" s="1"/>
  <c r="S684" i="80"/>
  <c r="S683" i="80" s="1"/>
  <c r="R684" i="80"/>
  <c r="R683" i="80" s="1"/>
  <c r="Q684" i="80"/>
  <c r="Q683" i="80" s="1"/>
  <c r="P684" i="80"/>
  <c r="P683" i="80" s="1"/>
  <c r="O684" i="80"/>
  <c r="O683" i="80" s="1"/>
  <c r="N684" i="80"/>
  <c r="N683" i="80" s="1"/>
  <c r="M684" i="80"/>
  <c r="M683" i="80" s="1"/>
  <c r="L684" i="80"/>
  <c r="L683" i="80" s="1"/>
  <c r="K684" i="80"/>
  <c r="K683" i="80" s="1"/>
  <c r="J684" i="80"/>
  <c r="J683" i="80" s="1"/>
  <c r="H684" i="80"/>
  <c r="H683" i="80" s="1"/>
  <c r="V682" i="80"/>
  <c r="U682" i="80"/>
  <c r="V681" i="80"/>
  <c r="U681" i="80"/>
  <c r="V680" i="80"/>
  <c r="U680" i="80"/>
  <c r="V679" i="80"/>
  <c r="U679" i="80"/>
  <c r="V678" i="80"/>
  <c r="U678" i="80"/>
  <c r="V677" i="80"/>
  <c r="U677" i="80"/>
  <c r="T676" i="80"/>
  <c r="S676" i="80"/>
  <c r="R676" i="80"/>
  <c r="Q676" i="80"/>
  <c r="P676" i="80"/>
  <c r="O676" i="80"/>
  <c r="N676" i="80"/>
  <c r="M676" i="80"/>
  <c r="L676" i="80"/>
  <c r="K676" i="80"/>
  <c r="J676" i="80"/>
  <c r="I676" i="80"/>
  <c r="H676" i="80"/>
  <c r="G676" i="80"/>
  <c r="V675" i="80"/>
  <c r="U675" i="80"/>
  <c r="T674" i="80"/>
  <c r="S674" i="80"/>
  <c r="R674" i="80"/>
  <c r="Q674" i="80"/>
  <c r="P674" i="80"/>
  <c r="O674" i="80"/>
  <c r="N674" i="80"/>
  <c r="M674" i="80"/>
  <c r="L674" i="80"/>
  <c r="K674" i="80"/>
  <c r="J674" i="80"/>
  <c r="I674" i="80"/>
  <c r="H674" i="80"/>
  <c r="G674" i="80"/>
  <c r="V673" i="80"/>
  <c r="U673" i="80"/>
  <c r="T672" i="80"/>
  <c r="S672" i="80"/>
  <c r="R672" i="80"/>
  <c r="Q672" i="80"/>
  <c r="P672" i="80"/>
  <c r="O672" i="80"/>
  <c r="N672" i="80"/>
  <c r="M672" i="80"/>
  <c r="L672" i="80"/>
  <c r="K672" i="80"/>
  <c r="J672" i="80"/>
  <c r="I672" i="80"/>
  <c r="H672" i="80"/>
  <c r="G672" i="80"/>
  <c r="V671" i="80"/>
  <c r="U671" i="80"/>
  <c r="T670" i="80"/>
  <c r="S670" i="80"/>
  <c r="R670" i="80"/>
  <c r="Q670" i="80"/>
  <c r="P670" i="80"/>
  <c r="O670" i="80"/>
  <c r="N670" i="80"/>
  <c r="M670" i="80"/>
  <c r="L670" i="80"/>
  <c r="K670" i="80"/>
  <c r="J670" i="80"/>
  <c r="I670" i="80"/>
  <c r="H670" i="80"/>
  <c r="G670" i="80"/>
  <c r="V669" i="80"/>
  <c r="U669" i="80"/>
  <c r="T668" i="80"/>
  <c r="S668" i="80"/>
  <c r="S667" i="80" s="1"/>
  <c r="R668" i="80"/>
  <c r="R667" i="80" s="1"/>
  <c r="Q668" i="80"/>
  <c r="Q667" i="80" s="1"/>
  <c r="P668" i="80"/>
  <c r="O668" i="80"/>
  <c r="O667" i="80" s="1"/>
  <c r="N668" i="80"/>
  <c r="N667" i="80" s="1"/>
  <c r="M668" i="80"/>
  <c r="M667" i="80" s="1"/>
  <c r="L668" i="80"/>
  <c r="K668" i="80"/>
  <c r="K667" i="80" s="1"/>
  <c r="J668" i="80"/>
  <c r="J667" i="80" s="1"/>
  <c r="I668" i="80"/>
  <c r="I667" i="80" s="1"/>
  <c r="H668" i="80"/>
  <c r="G668" i="80"/>
  <c r="G667" i="80" s="1"/>
  <c r="V666" i="80"/>
  <c r="U666" i="80"/>
  <c r="T665" i="80"/>
  <c r="T664" i="80" s="1"/>
  <c r="S665" i="80"/>
  <c r="S664" i="80" s="1"/>
  <c r="R665" i="80"/>
  <c r="R664" i="80" s="1"/>
  <c r="Q665" i="80"/>
  <c r="Q664" i="80" s="1"/>
  <c r="P665" i="80"/>
  <c r="P664" i="80" s="1"/>
  <c r="O665" i="80"/>
  <c r="O664" i="80" s="1"/>
  <c r="N665" i="80"/>
  <c r="N664" i="80" s="1"/>
  <c r="M665" i="80"/>
  <c r="M664" i="80" s="1"/>
  <c r="L665" i="80"/>
  <c r="L664" i="80" s="1"/>
  <c r="K665" i="80"/>
  <c r="K664" i="80" s="1"/>
  <c r="J665" i="80"/>
  <c r="J664" i="80" s="1"/>
  <c r="I665" i="80"/>
  <c r="I664" i="80" s="1"/>
  <c r="H665" i="80"/>
  <c r="H664" i="80" s="1"/>
  <c r="G665" i="80"/>
  <c r="V663" i="80"/>
  <c r="U663" i="80"/>
  <c r="T662" i="80"/>
  <c r="T661" i="80" s="1"/>
  <c r="S662" i="80"/>
  <c r="S661" i="80" s="1"/>
  <c r="R662" i="80"/>
  <c r="R661" i="80" s="1"/>
  <c r="Q662" i="80"/>
  <c r="Q661" i="80" s="1"/>
  <c r="P662" i="80"/>
  <c r="P661" i="80" s="1"/>
  <c r="O662" i="80"/>
  <c r="O661" i="80" s="1"/>
  <c r="N662" i="80"/>
  <c r="N661" i="80" s="1"/>
  <c r="M662" i="80"/>
  <c r="L662" i="80"/>
  <c r="L661" i="80" s="1"/>
  <c r="K662" i="80"/>
  <c r="K661" i="80" s="1"/>
  <c r="J662" i="80"/>
  <c r="J661" i="80" s="1"/>
  <c r="I662" i="80"/>
  <c r="I661" i="80" s="1"/>
  <c r="H662" i="80"/>
  <c r="H661" i="80" s="1"/>
  <c r="G662" i="80"/>
  <c r="G661" i="80" s="1"/>
  <c r="V660" i="80"/>
  <c r="U660" i="80"/>
  <c r="V659" i="80"/>
  <c r="U659" i="80"/>
  <c r="T658" i="80"/>
  <c r="S658" i="80"/>
  <c r="R658" i="80"/>
  <c r="Q658" i="80"/>
  <c r="P658" i="80"/>
  <c r="O658" i="80"/>
  <c r="N658" i="80"/>
  <c r="M658" i="80"/>
  <c r="L658" i="80"/>
  <c r="K658" i="80"/>
  <c r="J658" i="80"/>
  <c r="I658" i="80"/>
  <c r="H658" i="80"/>
  <c r="G658" i="80"/>
  <c r="V654" i="80"/>
  <c r="U654" i="80"/>
  <c r="V653" i="80"/>
  <c r="U653" i="80"/>
  <c r="T652" i="80"/>
  <c r="S652" i="80"/>
  <c r="R652" i="80"/>
  <c r="Q652" i="80"/>
  <c r="P652" i="80"/>
  <c r="O652" i="80"/>
  <c r="N652" i="80"/>
  <c r="M652" i="80"/>
  <c r="L652" i="80"/>
  <c r="K652" i="80"/>
  <c r="J652" i="80"/>
  <c r="I652" i="80"/>
  <c r="H652" i="80"/>
  <c r="G652" i="80"/>
  <c r="V651" i="80"/>
  <c r="U651" i="80"/>
  <c r="V650" i="80"/>
  <c r="U650" i="80"/>
  <c r="T649" i="80"/>
  <c r="S649" i="80"/>
  <c r="R649" i="80"/>
  <c r="Q649" i="80"/>
  <c r="P649" i="80"/>
  <c r="O649" i="80"/>
  <c r="N649" i="80"/>
  <c r="M649" i="80"/>
  <c r="L649" i="80"/>
  <c r="K649" i="80"/>
  <c r="J649" i="80"/>
  <c r="I649" i="80"/>
  <c r="H649" i="80"/>
  <c r="G649" i="80"/>
  <c r="V646" i="80"/>
  <c r="U646" i="80"/>
  <c r="T645" i="80"/>
  <c r="S645" i="80"/>
  <c r="R645" i="80"/>
  <c r="Q645" i="80"/>
  <c r="P645" i="80"/>
  <c r="O645" i="80"/>
  <c r="N645" i="80"/>
  <c r="M645" i="80"/>
  <c r="L645" i="80"/>
  <c r="K645" i="80"/>
  <c r="J645" i="80"/>
  <c r="I645" i="80"/>
  <c r="H645" i="80"/>
  <c r="G645" i="80"/>
  <c r="V642" i="80"/>
  <c r="U642" i="80"/>
  <c r="V641" i="80"/>
  <c r="U641" i="80"/>
  <c r="T640" i="80"/>
  <c r="T639" i="80" s="1"/>
  <c r="T638" i="80" s="1"/>
  <c r="S640" i="80"/>
  <c r="S639" i="80" s="1"/>
  <c r="S638" i="80" s="1"/>
  <c r="R640" i="80"/>
  <c r="Q640" i="80"/>
  <c r="Q639" i="80" s="1"/>
  <c r="Q638" i="80" s="1"/>
  <c r="P640" i="80"/>
  <c r="P639" i="80" s="1"/>
  <c r="P638" i="80" s="1"/>
  <c r="O640" i="80"/>
  <c r="O639" i="80" s="1"/>
  <c r="O638" i="80" s="1"/>
  <c r="N640" i="80"/>
  <c r="N639" i="80" s="1"/>
  <c r="N638" i="80" s="1"/>
  <c r="M640" i="80"/>
  <c r="M639" i="80" s="1"/>
  <c r="M638" i="80" s="1"/>
  <c r="L640" i="80"/>
  <c r="L639" i="80" s="1"/>
  <c r="L638" i="80" s="1"/>
  <c r="K640" i="80"/>
  <c r="K639" i="80" s="1"/>
  <c r="K638" i="80" s="1"/>
  <c r="J640" i="80"/>
  <c r="J639" i="80" s="1"/>
  <c r="J638" i="80" s="1"/>
  <c r="I640" i="80"/>
  <c r="I639" i="80" s="1"/>
  <c r="I638" i="80" s="1"/>
  <c r="H640" i="80"/>
  <c r="H639" i="80" s="1"/>
  <c r="H638" i="80" s="1"/>
  <c r="G640" i="80"/>
  <c r="G639" i="80" s="1"/>
  <c r="G638" i="80" s="1"/>
  <c r="R639" i="80"/>
  <c r="R638" i="80" s="1"/>
  <c r="I636" i="80"/>
  <c r="G636" i="80"/>
  <c r="U636" i="80" s="1"/>
  <c r="T635" i="80"/>
  <c r="S635" i="80"/>
  <c r="R635" i="80"/>
  <c r="Q635" i="80"/>
  <c r="P635" i="80"/>
  <c r="O635" i="80"/>
  <c r="N635" i="80"/>
  <c r="M635" i="80"/>
  <c r="L635" i="80"/>
  <c r="K635" i="80"/>
  <c r="J635" i="80"/>
  <c r="H635" i="80"/>
  <c r="V634" i="80"/>
  <c r="U634" i="80"/>
  <c r="T633" i="80"/>
  <c r="S633" i="80"/>
  <c r="R633" i="80"/>
  <c r="Q633" i="80"/>
  <c r="P633" i="80"/>
  <c r="O633" i="80"/>
  <c r="N633" i="80"/>
  <c r="M633" i="80"/>
  <c r="L633" i="80"/>
  <c r="K633" i="80"/>
  <c r="J633" i="80"/>
  <c r="I633" i="80"/>
  <c r="H633" i="80"/>
  <c r="G633" i="80"/>
  <c r="V632" i="80"/>
  <c r="U632" i="80"/>
  <c r="V631" i="80"/>
  <c r="U631" i="80"/>
  <c r="T630" i="80"/>
  <c r="S630" i="80"/>
  <c r="R630" i="80"/>
  <c r="Q630" i="80"/>
  <c r="P630" i="80"/>
  <c r="O630" i="80"/>
  <c r="N630" i="80"/>
  <c r="M630" i="80"/>
  <c r="L630" i="80"/>
  <c r="K630" i="80"/>
  <c r="J630" i="80"/>
  <c r="I630" i="80"/>
  <c r="H630" i="80"/>
  <c r="G630" i="80"/>
  <c r="V629" i="80"/>
  <c r="U629" i="80"/>
  <c r="T628" i="80"/>
  <c r="S628" i="80"/>
  <c r="R628" i="80"/>
  <c r="Q628" i="80"/>
  <c r="P628" i="80"/>
  <c r="O628" i="80"/>
  <c r="N628" i="80"/>
  <c r="M628" i="80"/>
  <c r="L628" i="80"/>
  <c r="K628" i="80"/>
  <c r="J628" i="80"/>
  <c r="I628" i="80"/>
  <c r="H628" i="80"/>
  <c r="G628" i="80"/>
  <c r="V627" i="80"/>
  <c r="U627" i="80"/>
  <c r="U626" i="80"/>
  <c r="J626" i="80"/>
  <c r="J624" i="80" s="1"/>
  <c r="V625" i="80"/>
  <c r="U625" i="80"/>
  <c r="T624" i="80"/>
  <c r="S624" i="80"/>
  <c r="R624" i="80"/>
  <c r="Q624" i="80"/>
  <c r="P624" i="80"/>
  <c r="O624" i="80"/>
  <c r="N624" i="80"/>
  <c r="M624" i="80"/>
  <c r="L624" i="80"/>
  <c r="K624" i="80"/>
  <c r="I624" i="80"/>
  <c r="H624" i="80"/>
  <c r="G624" i="80"/>
  <c r="J623" i="80"/>
  <c r="V623" i="80" s="1"/>
  <c r="H623" i="80"/>
  <c r="U623" i="80" s="1"/>
  <c r="T622" i="80"/>
  <c r="S622" i="80"/>
  <c r="R622" i="80"/>
  <c r="Q622" i="80"/>
  <c r="P622" i="80"/>
  <c r="O622" i="80"/>
  <c r="N622" i="80"/>
  <c r="M622" i="80"/>
  <c r="L622" i="80"/>
  <c r="K622" i="80"/>
  <c r="J622" i="80"/>
  <c r="I622" i="80"/>
  <c r="G622" i="80"/>
  <c r="J621" i="80"/>
  <c r="V621" i="80" s="1"/>
  <c r="H621" i="80"/>
  <c r="U621" i="80" s="1"/>
  <c r="T620" i="80"/>
  <c r="S620" i="80"/>
  <c r="R620" i="80"/>
  <c r="Q620" i="80"/>
  <c r="P620" i="80"/>
  <c r="O620" i="80"/>
  <c r="N620" i="80"/>
  <c r="M620" i="80"/>
  <c r="L620" i="80"/>
  <c r="K620" i="80"/>
  <c r="J620" i="80"/>
  <c r="I620" i="80"/>
  <c r="G620" i="80"/>
  <c r="V618" i="80"/>
  <c r="U618" i="80"/>
  <c r="T617" i="80"/>
  <c r="S617" i="80"/>
  <c r="R617" i="80"/>
  <c r="Q617" i="80"/>
  <c r="P617" i="80"/>
  <c r="O617" i="80"/>
  <c r="N617" i="80"/>
  <c r="M617" i="80"/>
  <c r="L617" i="80"/>
  <c r="K617" i="80"/>
  <c r="J617" i="80"/>
  <c r="I617" i="80"/>
  <c r="H617" i="80"/>
  <c r="G617" i="80"/>
  <c r="V616" i="80"/>
  <c r="U616" i="80"/>
  <c r="T615" i="80"/>
  <c r="T614" i="80" s="1"/>
  <c r="S615" i="80"/>
  <c r="S614" i="80" s="1"/>
  <c r="R615" i="80"/>
  <c r="R614" i="80" s="1"/>
  <c r="Q615" i="80"/>
  <c r="Q614" i="80" s="1"/>
  <c r="P615" i="80"/>
  <c r="P614" i="80" s="1"/>
  <c r="O615" i="80"/>
  <c r="O614" i="80" s="1"/>
  <c r="N615" i="80"/>
  <c r="N614" i="80" s="1"/>
  <c r="M615" i="80"/>
  <c r="M614" i="80" s="1"/>
  <c r="L615" i="80"/>
  <c r="L614" i="80" s="1"/>
  <c r="K615" i="80"/>
  <c r="K614" i="80" s="1"/>
  <c r="J615" i="80"/>
  <c r="J614" i="80" s="1"/>
  <c r="I615" i="80"/>
  <c r="H615" i="80"/>
  <c r="H614" i="80" s="1"/>
  <c r="G615" i="80"/>
  <c r="G614" i="80" s="1"/>
  <c r="V613" i="80"/>
  <c r="U613" i="80"/>
  <c r="T612" i="80"/>
  <c r="T611" i="80" s="1"/>
  <c r="S612" i="80"/>
  <c r="S611" i="80" s="1"/>
  <c r="R612" i="80"/>
  <c r="R611" i="80" s="1"/>
  <c r="Q612" i="80"/>
  <c r="Q611" i="80" s="1"/>
  <c r="P612" i="80"/>
  <c r="P611" i="80" s="1"/>
  <c r="O612" i="80"/>
  <c r="O611" i="80" s="1"/>
  <c r="N612" i="80"/>
  <c r="N611" i="80" s="1"/>
  <c r="M612" i="80"/>
  <c r="M611" i="80" s="1"/>
  <c r="L612" i="80"/>
  <c r="L611" i="80" s="1"/>
  <c r="K612" i="80"/>
  <c r="K611" i="80" s="1"/>
  <c r="J612" i="80"/>
  <c r="J611" i="80" s="1"/>
  <c r="I612" i="80"/>
  <c r="I611" i="80" s="1"/>
  <c r="H612" i="80"/>
  <c r="H611" i="80" s="1"/>
  <c r="G612" i="80"/>
  <c r="G611" i="80" s="1"/>
  <c r="V606" i="80"/>
  <c r="U606" i="80"/>
  <c r="T605" i="80"/>
  <c r="S605" i="80"/>
  <c r="R605" i="80"/>
  <c r="Q605" i="80"/>
  <c r="P605" i="80"/>
  <c r="O605" i="80"/>
  <c r="N605" i="80"/>
  <c r="M605" i="80"/>
  <c r="L605" i="80"/>
  <c r="K605" i="80"/>
  <c r="J605" i="80"/>
  <c r="I605" i="80"/>
  <c r="H605" i="80"/>
  <c r="G605" i="80"/>
  <c r="V604" i="80"/>
  <c r="U604" i="80"/>
  <c r="T603" i="80"/>
  <c r="S603" i="80"/>
  <c r="R603" i="80"/>
  <c r="Q603" i="80"/>
  <c r="P603" i="80"/>
  <c r="O603" i="80"/>
  <c r="N603" i="80"/>
  <c r="N602" i="80" s="1"/>
  <c r="N601" i="80" s="1"/>
  <c r="N600" i="80" s="1"/>
  <c r="M603" i="80"/>
  <c r="M602" i="80" s="1"/>
  <c r="M601" i="80" s="1"/>
  <c r="M600" i="80" s="1"/>
  <c r="L603" i="80"/>
  <c r="K603" i="80"/>
  <c r="J603" i="80"/>
  <c r="J602" i="80" s="1"/>
  <c r="J601" i="80" s="1"/>
  <c r="J600" i="80" s="1"/>
  <c r="I603" i="80"/>
  <c r="I602" i="80" s="1"/>
  <c r="I601" i="80" s="1"/>
  <c r="I600" i="80" s="1"/>
  <c r="H603" i="80"/>
  <c r="G603" i="80"/>
  <c r="R602" i="80"/>
  <c r="R601" i="80" s="1"/>
  <c r="R600" i="80" s="1"/>
  <c r="Q602" i="80"/>
  <c r="Q601" i="80" s="1"/>
  <c r="Q600" i="80" s="1"/>
  <c r="V599" i="80"/>
  <c r="U599" i="80"/>
  <c r="T598" i="80"/>
  <c r="S598" i="80"/>
  <c r="R598" i="80"/>
  <c r="Q598" i="80"/>
  <c r="P598" i="80"/>
  <c r="O598" i="80"/>
  <c r="N598" i="80"/>
  <c r="M598" i="80"/>
  <c r="L598" i="80"/>
  <c r="K598" i="80"/>
  <c r="J598" i="80"/>
  <c r="I598" i="80"/>
  <c r="H598" i="80"/>
  <c r="G598" i="80"/>
  <c r="V597" i="80"/>
  <c r="U597" i="80"/>
  <c r="T596" i="80"/>
  <c r="S596" i="80"/>
  <c r="R596" i="80"/>
  <c r="Q596" i="80"/>
  <c r="P596" i="80"/>
  <c r="O596" i="80"/>
  <c r="N596" i="80"/>
  <c r="M596" i="80"/>
  <c r="L596" i="80"/>
  <c r="K596" i="80"/>
  <c r="J596" i="80"/>
  <c r="I596" i="80"/>
  <c r="H596" i="80"/>
  <c r="G596" i="80"/>
  <c r="T595" i="80"/>
  <c r="S595" i="80"/>
  <c r="R595" i="80"/>
  <c r="Q595" i="80"/>
  <c r="P595" i="80"/>
  <c r="O595" i="80"/>
  <c r="N595" i="80"/>
  <c r="M595" i="80"/>
  <c r="L595" i="80"/>
  <c r="K595" i="80"/>
  <c r="J595" i="80"/>
  <c r="I595" i="80"/>
  <c r="H595" i="80"/>
  <c r="G595" i="80"/>
  <c r="V592" i="80"/>
  <c r="U592" i="80"/>
  <c r="V591" i="80"/>
  <c r="U591" i="80"/>
  <c r="V590" i="80"/>
  <c r="U590" i="80"/>
  <c r="T589" i="80"/>
  <c r="T588" i="80" s="1"/>
  <c r="T587" i="80" s="1"/>
  <c r="T586" i="80" s="1"/>
  <c r="T585" i="80" s="1"/>
  <c r="S589" i="80"/>
  <c r="S588" i="80" s="1"/>
  <c r="S587" i="80" s="1"/>
  <c r="S586" i="80" s="1"/>
  <c r="S585" i="80" s="1"/>
  <c r="R589" i="80"/>
  <c r="R588" i="80" s="1"/>
  <c r="R587" i="80" s="1"/>
  <c r="R586" i="80" s="1"/>
  <c r="R585" i="80" s="1"/>
  <c r="Q589" i="80"/>
  <c r="Q588" i="80" s="1"/>
  <c r="Q587" i="80" s="1"/>
  <c r="Q586" i="80" s="1"/>
  <c r="Q585" i="80" s="1"/>
  <c r="P589" i="80"/>
  <c r="P588" i="80" s="1"/>
  <c r="P587" i="80" s="1"/>
  <c r="P586" i="80" s="1"/>
  <c r="P585" i="80" s="1"/>
  <c r="O589" i="80"/>
  <c r="O588" i="80" s="1"/>
  <c r="O587" i="80" s="1"/>
  <c r="O586" i="80" s="1"/>
  <c r="O585" i="80" s="1"/>
  <c r="N589" i="80"/>
  <c r="N588" i="80" s="1"/>
  <c r="N587" i="80" s="1"/>
  <c r="N586" i="80" s="1"/>
  <c r="N585" i="80" s="1"/>
  <c r="M589" i="80"/>
  <c r="M588" i="80" s="1"/>
  <c r="M587" i="80" s="1"/>
  <c r="M586" i="80" s="1"/>
  <c r="M585" i="80" s="1"/>
  <c r="L589" i="80"/>
  <c r="L588" i="80" s="1"/>
  <c r="K589" i="80"/>
  <c r="K588" i="80" s="1"/>
  <c r="K587" i="80" s="1"/>
  <c r="K586" i="80" s="1"/>
  <c r="K585" i="80" s="1"/>
  <c r="J589" i="80"/>
  <c r="J588" i="80" s="1"/>
  <c r="J587" i="80" s="1"/>
  <c r="J586" i="80" s="1"/>
  <c r="J585" i="80" s="1"/>
  <c r="I589" i="80"/>
  <c r="I588" i="80" s="1"/>
  <c r="I587" i="80" s="1"/>
  <c r="I586" i="80" s="1"/>
  <c r="I585" i="80" s="1"/>
  <c r="H589" i="80"/>
  <c r="H588" i="80" s="1"/>
  <c r="H587" i="80" s="1"/>
  <c r="H586" i="80" s="1"/>
  <c r="H585" i="80" s="1"/>
  <c r="G589" i="80"/>
  <c r="G588" i="80" s="1"/>
  <c r="V583" i="80"/>
  <c r="U583" i="80"/>
  <c r="T582" i="80"/>
  <c r="S582" i="80"/>
  <c r="R582" i="80"/>
  <c r="Q582" i="80"/>
  <c r="P582" i="80"/>
  <c r="O582" i="80"/>
  <c r="N582" i="80"/>
  <c r="M582" i="80"/>
  <c r="L582" i="80"/>
  <c r="K582" i="80"/>
  <c r="J582" i="80"/>
  <c r="I582" i="80"/>
  <c r="H582" i="80"/>
  <c r="G582" i="80"/>
  <c r="V581" i="80"/>
  <c r="U581" i="80"/>
  <c r="T580" i="80"/>
  <c r="S580" i="80"/>
  <c r="R580" i="80"/>
  <c r="Q580" i="80"/>
  <c r="P580" i="80"/>
  <c r="O580" i="80"/>
  <c r="N580" i="80"/>
  <c r="M580" i="80"/>
  <c r="L580" i="80"/>
  <c r="K580" i="80"/>
  <c r="J580" i="80"/>
  <c r="I580" i="80"/>
  <c r="H580" i="80"/>
  <c r="G580" i="80"/>
  <c r="V579" i="80"/>
  <c r="U579" i="80"/>
  <c r="T578" i="80"/>
  <c r="T577" i="80" s="1"/>
  <c r="T576" i="80" s="1"/>
  <c r="T575" i="80" s="1"/>
  <c r="S578" i="80"/>
  <c r="S577" i="80" s="1"/>
  <c r="S576" i="80" s="1"/>
  <c r="S575" i="80" s="1"/>
  <c r="R578" i="80"/>
  <c r="Q578" i="80"/>
  <c r="P578" i="80"/>
  <c r="O578" i="80"/>
  <c r="O577" i="80" s="1"/>
  <c r="O576" i="80" s="1"/>
  <c r="O575" i="80" s="1"/>
  <c r="N578" i="80"/>
  <c r="M578" i="80"/>
  <c r="L578" i="80"/>
  <c r="K578" i="80"/>
  <c r="K577" i="80" s="1"/>
  <c r="K576" i="80" s="1"/>
  <c r="K575" i="80" s="1"/>
  <c r="J578" i="80"/>
  <c r="I578" i="80"/>
  <c r="H578" i="80"/>
  <c r="G578" i="80"/>
  <c r="G577" i="80" s="1"/>
  <c r="G576" i="80" s="1"/>
  <c r="G575" i="80" s="1"/>
  <c r="V574" i="80"/>
  <c r="U574" i="80"/>
  <c r="T573" i="80"/>
  <c r="T572" i="80" s="1"/>
  <c r="T571" i="80" s="1"/>
  <c r="T570" i="80" s="1"/>
  <c r="S573" i="80"/>
  <c r="S572" i="80" s="1"/>
  <c r="S571" i="80" s="1"/>
  <c r="S570" i="80" s="1"/>
  <c r="R573" i="80"/>
  <c r="R572" i="80" s="1"/>
  <c r="R571" i="80" s="1"/>
  <c r="R570" i="80" s="1"/>
  <c r="Q573" i="80"/>
  <c r="Q572" i="80" s="1"/>
  <c r="Q571" i="80" s="1"/>
  <c r="Q570" i="80" s="1"/>
  <c r="P573" i="80"/>
  <c r="P572" i="80" s="1"/>
  <c r="P571" i="80" s="1"/>
  <c r="P570" i="80" s="1"/>
  <c r="O573" i="80"/>
  <c r="O572" i="80" s="1"/>
  <c r="O571" i="80" s="1"/>
  <c r="O570" i="80" s="1"/>
  <c r="N573" i="80"/>
  <c r="N572" i="80" s="1"/>
  <c r="M573" i="80"/>
  <c r="L573" i="80"/>
  <c r="L572" i="80" s="1"/>
  <c r="L571" i="80" s="1"/>
  <c r="L570" i="80" s="1"/>
  <c r="K573" i="80"/>
  <c r="K572" i="80" s="1"/>
  <c r="K571" i="80" s="1"/>
  <c r="K570" i="80" s="1"/>
  <c r="J573" i="80"/>
  <c r="J572" i="80" s="1"/>
  <c r="J571" i="80" s="1"/>
  <c r="J570" i="80" s="1"/>
  <c r="I573" i="80"/>
  <c r="I572" i="80" s="1"/>
  <c r="I571" i="80" s="1"/>
  <c r="I570" i="80" s="1"/>
  <c r="H573" i="80"/>
  <c r="H572" i="80" s="1"/>
  <c r="H571" i="80" s="1"/>
  <c r="H570" i="80" s="1"/>
  <c r="G573" i="80"/>
  <c r="G572" i="80" s="1"/>
  <c r="G571" i="80" s="1"/>
  <c r="G570" i="80" s="1"/>
  <c r="V569" i="80"/>
  <c r="U569" i="80"/>
  <c r="V568" i="80"/>
  <c r="U568" i="80"/>
  <c r="T567" i="80"/>
  <c r="T566" i="80" s="1"/>
  <c r="T565" i="80" s="1"/>
  <c r="T564" i="80" s="1"/>
  <c r="S567" i="80"/>
  <c r="S566" i="80" s="1"/>
  <c r="S565" i="80" s="1"/>
  <c r="S564" i="80" s="1"/>
  <c r="R567" i="80"/>
  <c r="R566" i="80" s="1"/>
  <c r="R565" i="80" s="1"/>
  <c r="R564" i="80" s="1"/>
  <c r="Q567" i="80"/>
  <c r="Q566" i="80" s="1"/>
  <c r="Q565" i="80" s="1"/>
  <c r="Q564" i="80" s="1"/>
  <c r="P567" i="80"/>
  <c r="P566" i="80" s="1"/>
  <c r="P565" i="80" s="1"/>
  <c r="P564" i="80" s="1"/>
  <c r="O567" i="80"/>
  <c r="O566" i="80" s="1"/>
  <c r="O565" i="80" s="1"/>
  <c r="O564" i="80" s="1"/>
  <c r="N567" i="80"/>
  <c r="N566" i="80" s="1"/>
  <c r="N565" i="80" s="1"/>
  <c r="N564" i="80" s="1"/>
  <c r="M567" i="80"/>
  <c r="M566" i="80" s="1"/>
  <c r="M565" i="80" s="1"/>
  <c r="M564" i="80" s="1"/>
  <c r="L567" i="80"/>
  <c r="K567" i="80"/>
  <c r="K566" i="80" s="1"/>
  <c r="K565" i="80" s="1"/>
  <c r="K564" i="80" s="1"/>
  <c r="J567" i="80"/>
  <c r="J566" i="80" s="1"/>
  <c r="J565" i="80" s="1"/>
  <c r="J564" i="80" s="1"/>
  <c r="I567" i="80"/>
  <c r="I566" i="80" s="1"/>
  <c r="I565" i="80" s="1"/>
  <c r="I564" i="80" s="1"/>
  <c r="H567" i="80"/>
  <c r="H566" i="80" s="1"/>
  <c r="H565" i="80" s="1"/>
  <c r="H564" i="80" s="1"/>
  <c r="G567" i="80"/>
  <c r="G566" i="80" s="1"/>
  <c r="G565" i="80" s="1"/>
  <c r="G564" i="80" s="1"/>
  <c r="V562" i="80"/>
  <c r="U562" i="80"/>
  <c r="V561" i="80"/>
  <c r="U561" i="80"/>
  <c r="T560" i="80"/>
  <c r="S560" i="80"/>
  <c r="R560" i="80"/>
  <c r="Q560" i="80"/>
  <c r="P560" i="80"/>
  <c r="O560" i="80"/>
  <c r="N560" i="80"/>
  <c r="M560" i="80"/>
  <c r="L560" i="80"/>
  <c r="K560" i="80"/>
  <c r="J560" i="80"/>
  <c r="I560" i="80"/>
  <c r="H560" i="80"/>
  <c r="G560" i="80"/>
  <c r="V559" i="80"/>
  <c r="U559" i="80"/>
  <c r="V558" i="80"/>
  <c r="U558" i="80"/>
  <c r="T557" i="80"/>
  <c r="T556" i="80" s="1"/>
  <c r="S557" i="80"/>
  <c r="S556" i="80" s="1"/>
  <c r="R557" i="80"/>
  <c r="R556" i="80" s="1"/>
  <c r="Q557" i="80"/>
  <c r="Q556" i="80" s="1"/>
  <c r="P557" i="80"/>
  <c r="P556" i="80" s="1"/>
  <c r="O557" i="80"/>
  <c r="O556" i="80" s="1"/>
  <c r="N557" i="80"/>
  <c r="N556" i="80" s="1"/>
  <c r="M557" i="80"/>
  <c r="L557" i="80"/>
  <c r="L556" i="80" s="1"/>
  <c r="K557" i="80"/>
  <c r="K556" i="80" s="1"/>
  <c r="J557" i="80"/>
  <c r="J556" i="80" s="1"/>
  <c r="I557" i="80"/>
  <c r="I556" i="80" s="1"/>
  <c r="H557" i="80"/>
  <c r="H556" i="80" s="1"/>
  <c r="G557" i="80"/>
  <c r="G556" i="80" s="1"/>
  <c r="V554" i="80"/>
  <c r="U554" i="80"/>
  <c r="T553" i="80"/>
  <c r="S553" i="80"/>
  <c r="R553" i="80"/>
  <c r="Q553" i="80"/>
  <c r="P553" i="80"/>
  <c r="O553" i="80"/>
  <c r="N553" i="80"/>
  <c r="M553" i="80"/>
  <c r="L553" i="80"/>
  <c r="K553" i="80"/>
  <c r="J553" i="80"/>
  <c r="I553" i="80"/>
  <c r="H553" i="80"/>
  <c r="G553" i="80"/>
  <c r="V552" i="80"/>
  <c r="U552" i="80"/>
  <c r="V551" i="80"/>
  <c r="U551" i="80"/>
  <c r="T550" i="80"/>
  <c r="S550" i="80"/>
  <c r="R550" i="80"/>
  <c r="Q550" i="80"/>
  <c r="P550" i="80"/>
  <c r="O550" i="80"/>
  <c r="N550" i="80"/>
  <c r="M550" i="80"/>
  <c r="L550" i="80"/>
  <c r="K550" i="80"/>
  <c r="J550" i="80"/>
  <c r="I550" i="80"/>
  <c r="H550" i="80"/>
  <c r="G550" i="80"/>
  <c r="V549" i="80"/>
  <c r="U549" i="80"/>
  <c r="V548" i="80"/>
  <c r="U548" i="80"/>
  <c r="S547" i="80"/>
  <c r="S546" i="80" s="1"/>
  <c r="R547" i="80"/>
  <c r="R546" i="80" s="1"/>
  <c r="Q547" i="80"/>
  <c r="Q546" i="80" s="1"/>
  <c r="P547" i="80"/>
  <c r="P546" i="80" s="1"/>
  <c r="O547" i="80"/>
  <c r="O546" i="80" s="1"/>
  <c r="N547" i="80"/>
  <c r="N546" i="80" s="1"/>
  <c r="M547" i="80"/>
  <c r="M546" i="80" s="1"/>
  <c r="L547" i="80"/>
  <c r="L546" i="80" s="1"/>
  <c r="K547" i="80"/>
  <c r="K546" i="80" s="1"/>
  <c r="J547" i="80"/>
  <c r="J546" i="80" s="1"/>
  <c r="I547" i="80"/>
  <c r="I546" i="80" s="1"/>
  <c r="H547" i="80"/>
  <c r="H546" i="80" s="1"/>
  <c r="G547" i="80"/>
  <c r="G546" i="80" s="1"/>
  <c r="T546" i="80"/>
  <c r="V543" i="80"/>
  <c r="U543" i="80"/>
  <c r="T542" i="80"/>
  <c r="S542" i="80"/>
  <c r="R542" i="80"/>
  <c r="Q542" i="80"/>
  <c r="P542" i="80"/>
  <c r="O542" i="80"/>
  <c r="N542" i="80"/>
  <c r="M542" i="80"/>
  <c r="L542" i="80"/>
  <c r="K542" i="80"/>
  <c r="J542" i="80"/>
  <c r="I542" i="80"/>
  <c r="H542" i="80"/>
  <c r="G542" i="80"/>
  <c r="V541" i="80"/>
  <c r="U541" i="80"/>
  <c r="T540" i="80"/>
  <c r="S540" i="80"/>
  <c r="R540" i="80"/>
  <c r="Q540" i="80"/>
  <c r="P540" i="80"/>
  <c r="O540" i="80"/>
  <c r="N540" i="80"/>
  <c r="M540" i="80"/>
  <c r="L540" i="80"/>
  <c r="K540" i="80"/>
  <c r="J540" i="80"/>
  <c r="I540" i="80"/>
  <c r="H540" i="80"/>
  <c r="G540" i="80"/>
  <c r="V539" i="80"/>
  <c r="U539" i="80"/>
  <c r="T538" i="80"/>
  <c r="S538" i="80"/>
  <c r="R538" i="80"/>
  <c r="Q538" i="80"/>
  <c r="P538" i="80"/>
  <c r="O538" i="80"/>
  <c r="N538" i="80"/>
  <c r="M538" i="80"/>
  <c r="L538" i="80"/>
  <c r="K538" i="80"/>
  <c r="J538" i="80"/>
  <c r="I538" i="80"/>
  <c r="H538" i="80"/>
  <c r="G538" i="80"/>
  <c r="V537" i="80"/>
  <c r="U537" i="80"/>
  <c r="T536" i="80"/>
  <c r="S536" i="80"/>
  <c r="R536" i="80"/>
  <c r="Q536" i="80"/>
  <c r="P536" i="80"/>
  <c r="O536" i="80"/>
  <c r="N536" i="80"/>
  <c r="M536" i="80"/>
  <c r="L536" i="80"/>
  <c r="K536" i="80"/>
  <c r="J536" i="80"/>
  <c r="I536" i="80"/>
  <c r="H536" i="80"/>
  <c r="G536" i="80"/>
  <c r="V535" i="80"/>
  <c r="U535" i="80"/>
  <c r="T534" i="80"/>
  <c r="S534" i="80"/>
  <c r="R534" i="80"/>
  <c r="Q534" i="80"/>
  <c r="P534" i="80"/>
  <c r="O534" i="80"/>
  <c r="N534" i="80"/>
  <c r="M534" i="80"/>
  <c r="L534" i="80"/>
  <c r="K534" i="80"/>
  <c r="J534" i="80"/>
  <c r="I534" i="80"/>
  <c r="H534" i="80"/>
  <c r="G534" i="80"/>
  <c r="V533" i="80"/>
  <c r="U533" i="80"/>
  <c r="T532" i="80"/>
  <c r="S532" i="80"/>
  <c r="R532" i="80"/>
  <c r="Q532" i="80"/>
  <c r="P532" i="80"/>
  <c r="O532" i="80"/>
  <c r="N532" i="80"/>
  <c r="M532" i="80"/>
  <c r="L532" i="80"/>
  <c r="K532" i="80"/>
  <c r="J532" i="80"/>
  <c r="I532" i="80"/>
  <c r="H532" i="80"/>
  <c r="G532" i="80"/>
  <c r="V531" i="80"/>
  <c r="U531" i="80"/>
  <c r="T530" i="80"/>
  <c r="S530" i="80"/>
  <c r="R530" i="80"/>
  <c r="Q530" i="80"/>
  <c r="P530" i="80"/>
  <c r="O530" i="80"/>
  <c r="N530" i="80"/>
  <c r="M530" i="80"/>
  <c r="L530" i="80"/>
  <c r="K530" i="80"/>
  <c r="J530" i="80"/>
  <c r="I530" i="80"/>
  <c r="H530" i="80"/>
  <c r="G530" i="80"/>
  <c r="V529" i="80"/>
  <c r="U529" i="80"/>
  <c r="T528" i="80"/>
  <c r="S528" i="80"/>
  <c r="R528" i="80"/>
  <c r="Q528" i="80"/>
  <c r="P528" i="80"/>
  <c r="O528" i="80"/>
  <c r="N528" i="80"/>
  <c r="M528" i="80"/>
  <c r="L528" i="80"/>
  <c r="K528" i="80"/>
  <c r="J528" i="80"/>
  <c r="I528" i="80"/>
  <c r="H528" i="80"/>
  <c r="G528" i="80"/>
  <c r="V527" i="80"/>
  <c r="U527" i="80"/>
  <c r="T526" i="80"/>
  <c r="T525" i="80" s="1"/>
  <c r="T524" i="80" s="1"/>
  <c r="T523" i="80" s="1"/>
  <c r="T522" i="80" s="1"/>
  <c r="S526" i="80"/>
  <c r="R526" i="80"/>
  <c r="R525" i="80" s="1"/>
  <c r="R524" i="80" s="1"/>
  <c r="R523" i="80" s="1"/>
  <c r="R522" i="80" s="1"/>
  <c r="Q526" i="80"/>
  <c r="Q525" i="80" s="1"/>
  <c r="Q524" i="80" s="1"/>
  <c r="P526" i="80"/>
  <c r="P525" i="80" s="1"/>
  <c r="P524" i="80" s="1"/>
  <c r="P523" i="80" s="1"/>
  <c r="P522" i="80" s="1"/>
  <c r="O526" i="80"/>
  <c r="N526" i="80"/>
  <c r="N525" i="80" s="1"/>
  <c r="N524" i="80" s="1"/>
  <c r="N523" i="80" s="1"/>
  <c r="N522" i="80" s="1"/>
  <c r="M526" i="80"/>
  <c r="L526" i="80"/>
  <c r="L525" i="80" s="1"/>
  <c r="L524" i="80" s="1"/>
  <c r="L523" i="80" s="1"/>
  <c r="L522" i="80" s="1"/>
  <c r="K526" i="80"/>
  <c r="J526" i="80"/>
  <c r="J525" i="80" s="1"/>
  <c r="J524" i="80" s="1"/>
  <c r="J523" i="80" s="1"/>
  <c r="J522" i="80" s="1"/>
  <c r="I526" i="80"/>
  <c r="H526" i="80"/>
  <c r="H525" i="80" s="1"/>
  <c r="H524" i="80" s="1"/>
  <c r="H523" i="80" s="1"/>
  <c r="H522" i="80" s="1"/>
  <c r="G526" i="80"/>
  <c r="V521" i="80"/>
  <c r="U521" i="80"/>
  <c r="T520" i="80"/>
  <c r="T519" i="80" s="1"/>
  <c r="T518" i="80" s="1"/>
  <c r="S520" i="80"/>
  <c r="S519" i="80" s="1"/>
  <c r="S518" i="80" s="1"/>
  <c r="R520" i="80"/>
  <c r="R519" i="80" s="1"/>
  <c r="R518" i="80" s="1"/>
  <c r="Q520" i="80"/>
  <c r="Q519" i="80" s="1"/>
  <c r="Q518" i="80" s="1"/>
  <c r="P520" i="80"/>
  <c r="P519" i="80" s="1"/>
  <c r="P518" i="80" s="1"/>
  <c r="O520" i="80"/>
  <c r="O519" i="80" s="1"/>
  <c r="O518" i="80" s="1"/>
  <c r="N520" i="80"/>
  <c r="N519" i="80" s="1"/>
  <c r="N518" i="80" s="1"/>
  <c r="M520" i="80"/>
  <c r="M519" i="80" s="1"/>
  <c r="M518" i="80" s="1"/>
  <c r="L520" i="80"/>
  <c r="L519" i="80" s="1"/>
  <c r="L518" i="80" s="1"/>
  <c r="K520" i="80"/>
  <c r="K519" i="80" s="1"/>
  <c r="K518" i="80" s="1"/>
  <c r="J520" i="80"/>
  <c r="J519" i="80" s="1"/>
  <c r="J518" i="80" s="1"/>
  <c r="I520" i="80"/>
  <c r="H520" i="80"/>
  <c r="H519" i="80" s="1"/>
  <c r="H518" i="80" s="1"/>
  <c r="G520" i="80"/>
  <c r="G519" i="80" s="1"/>
  <c r="V516" i="80"/>
  <c r="U516" i="80"/>
  <c r="T515" i="80"/>
  <c r="T514" i="80" s="1"/>
  <c r="T513" i="80" s="1"/>
  <c r="S515" i="80"/>
  <c r="S514" i="80" s="1"/>
  <c r="S513" i="80" s="1"/>
  <c r="R515" i="80"/>
  <c r="R514" i="80" s="1"/>
  <c r="R513" i="80" s="1"/>
  <c r="Q515" i="80"/>
  <c r="Q514" i="80" s="1"/>
  <c r="Q513" i="80" s="1"/>
  <c r="P515" i="80"/>
  <c r="P514" i="80" s="1"/>
  <c r="P513" i="80" s="1"/>
  <c r="O515" i="80"/>
  <c r="O514" i="80" s="1"/>
  <c r="O513" i="80" s="1"/>
  <c r="N515" i="80"/>
  <c r="N514" i="80" s="1"/>
  <c r="N513" i="80" s="1"/>
  <c r="M515" i="80"/>
  <c r="M514" i="80" s="1"/>
  <c r="M513" i="80" s="1"/>
  <c r="L515" i="80"/>
  <c r="L514" i="80" s="1"/>
  <c r="L513" i="80" s="1"/>
  <c r="K515" i="80"/>
  <c r="K514" i="80" s="1"/>
  <c r="K513" i="80" s="1"/>
  <c r="J515" i="80"/>
  <c r="J514" i="80" s="1"/>
  <c r="J513" i="80" s="1"/>
  <c r="I515" i="80"/>
  <c r="I514" i="80" s="1"/>
  <c r="H515" i="80"/>
  <c r="H514" i="80" s="1"/>
  <c r="H513" i="80" s="1"/>
  <c r="G515" i="80"/>
  <c r="G514" i="80" s="1"/>
  <c r="G513" i="80" s="1"/>
  <c r="V512" i="80"/>
  <c r="U512" i="80"/>
  <c r="T511" i="80"/>
  <c r="T510" i="80" s="1"/>
  <c r="S511" i="80"/>
  <c r="S510" i="80" s="1"/>
  <c r="R511" i="80"/>
  <c r="R510" i="80" s="1"/>
  <c r="Q511" i="80"/>
  <c r="Q510" i="80" s="1"/>
  <c r="P511" i="80"/>
  <c r="P510" i="80" s="1"/>
  <c r="O511" i="80"/>
  <c r="O510" i="80" s="1"/>
  <c r="N511" i="80"/>
  <c r="N510" i="80" s="1"/>
  <c r="M511" i="80"/>
  <c r="M510" i="80" s="1"/>
  <c r="L511" i="80"/>
  <c r="L510" i="80" s="1"/>
  <c r="K511" i="80"/>
  <c r="K510" i="80" s="1"/>
  <c r="J511" i="80"/>
  <c r="J510" i="80" s="1"/>
  <c r="I511" i="80"/>
  <c r="I510" i="80" s="1"/>
  <c r="H511" i="80"/>
  <c r="H510" i="80" s="1"/>
  <c r="G511" i="80"/>
  <c r="V509" i="80"/>
  <c r="U509" i="80"/>
  <c r="T508" i="80"/>
  <c r="T507" i="80" s="1"/>
  <c r="S508" i="80"/>
  <c r="S507" i="80" s="1"/>
  <c r="R508" i="80"/>
  <c r="R507" i="80" s="1"/>
  <c r="Q508" i="80"/>
  <c r="Q507" i="80" s="1"/>
  <c r="P508" i="80"/>
  <c r="P507" i="80" s="1"/>
  <c r="O508" i="80"/>
  <c r="O507" i="80" s="1"/>
  <c r="N508" i="80"/>
  <c r="N507" i="80" s="1"/>
  <c r="M508" i="80"/>
  <c r="M507" i="80" s="1"/>
  <c r="L508" i="80"/>
  <c r="L507" i="80" s="1"/>
  <c r="K508" i="80"/>
  <c r="K507" i="80" s="1"/>
  <c r="J508" i="80"/>
  <c r="J507" i="80" s="1"/>
  <c r="I508" i="80"/>
  <c r="I507" i="80" s="1"/>
  <c r="H508" i="80"/>
  <c r="H507" i="80" s="1"/>
  <c r="G508" i="80"/>
  <c r="G507" i="80" s="1"/>
  <c r="V505" i="80"/>
  <c r="U505" i="80"/>
  <c r="T504" i="80"/>
  <c r="T503" i="80" s="1"/>
  <c r="S504" i="80"/>
  <c r="S503" i="80" s="1"/>
  <c r="R504" i="80"/>
  <c r="Q504" i="80"/>
  <c r="P504" i="80"/>
  <c r="P503" i="80" s="1"/>
  <c r="O504" i="80"/>
  <c r="O503" i="80" s="1"/>
  <c r="N504" i="80"/>
  <c r="N503" i="80" s="1"/>
  <c r="M504" i="80"/>
  <c r="M503" i="80" s="1"/>
  <c r="L504" i="80"/>
  <c r="L503" i="80" s="1"/>
  <c r="K504" i="80"/>
  <c r="K503" i="80" s="1"/>
  <c r="J504" i="80"/>
  <c r="J503" i="80" s="1"/>
  <c r="I504" i="80"/>
  <c r="I503" i="80" s="1"/>
  <c r="H504" i="80"/>
  <c r="H503" i="80" s="1"/>
  <c r="G504" i="80"/>
  <c r="R503" i="80"/>
  <c r="Q503" i="80"/>
  <c r="V501" i="80"/>
  <c r="U501" i="80"/>
  <c r="V500" i="80"/>
  <c r="U500" i="80"/>
  <c r="T499" i="80"/>
  <c r="S499" i="80"/>
  <c r="R499" i="80"/>
  <c r="Q499" i="80"/>
  <c r="P499" i="80"/>
  <c r="O499" i="80"/>
  <c r="N499" i="80"/>
  <c r="M499" i="80"/>
  <c r="L499" i="80"/>
  <c r="K499" i="80"/>
  <c r="J499" i="80"/>
  <c r="I499" i="80"/>
  <c r="H499" i="80"/>
  <c r="G499" i="80"/>
  <c r="V498" i="80"/>
  <c r="U498" i="80"/>
  <c r="T497" i="80"/>
  <c r="T496" i="80" s="1"/>
  <c r="S497" i="80"/>
  <c r="S496" i="80" s="1"/>
  <c r="R497" i="80"/>
  <c r="Q497" i="80"/>
  <c r="P497" i="80"/>
  <c r="P496" i="80" s="1"/>
  <c r="O497" i="80"/>
  <c r="O496" i="80" s="1"/>
  <c r="N497" i="80"/>
  <c r="N496" i="80" s="1"/>
  <c r="M497" i="80"/>
  <c r="M496" i="80" s="1"/>
  <c r="L497" i="80"/>
  <c r="K497" i="80"/>
  <c r="K496" i="80" s="1"/>
  <c r="J497" i="80"/>
  <c r="J496" i="80" s="1"/>
  <c r="I497" i="80"/>
  <c r="I496" i="80" s="1"/>
  <c r="H497" i="80"/>
  <c r="H496" i="80" s="1"/>
  <c r="G497" i="80"/>
  <c r="G496" i="80" s="1"/>
  <c r="R496" i="80"/>
  <c r="Q496" i="80"/>
  <c r="L496" i="80"/>
  <c r="V495" i="80"/>
  <c r="K495" i="80"/>
  <c r="U495" i="80" s="1"/>
  <c r="T494" i="80"/>
  <c r="S494" i="80"/>
  <c r="R494" i="80"/>
  <c r="Q494" i="80"/>
  <c r="P494" i="80"/>
  <c r="O494" i="80"/>
  <c r="N494" i="80"/>
  <c r="M494" i="80"/>
  <c r="L494" i="80"/>
  <c r="J494" i="80"/>
  <c r="I494" i="80"/>
  <c r="H494" i="80"/>
  <c r="G494" i="80"/>
  <c r="V493" i="80"/>
  <c r="U493" i="80"/>
  <c r="V492" i="80"/>
  <c r="U492" i="80"/>
  <c r="T491" i="80"/>
  <c r="S491" i="80"/>
  <c r="R491" i="80"/>
  <c r="Q491" i="80"/>
  <c r="P491" i="80"/>
  <c r="O491" i="80"/>
  <c r="N491" i="80"/>
  <c r="M491" i="80"/>
  <c r="L491" i="80"/>
  <c r="K491" i="80"/>
  <c r="J491" i="80"/>
  <c r="I491" i="80"/>
  <c r="H491" i="80"/>
  <c r="G491" i="80"/>
  <c r="V490" i="80"/>
  <c r="U490" i="80"/>
  <c r="T489" i="80"/>
  <c r="S489" i="80"/>
  <c r="R489" i="80"/>
  <c r="Q489" i="80"/>
  <c r="P489" i="80"/>
  <c r="O489" i="80"/>
  <c r="N489" i="80"/>
  <c r="M489" i="80"/>
  <c r="L489" i="80"/>
  <c r="K489" i="80"/>
  <c r="J489" i="80"/>
  <c r="I489" i="80"/>
  <c r="H489" i="80"/>
  <c r="G489" i="80"/>
  <c r="V488" i="80"/>
  <c r="V751" i="80" s="1"/>
  <c r="U488" i="80"/>
  <c r="U751" i="80" s="1"/>
  <c r="T487" i="80"/>
  <c r="S487" i="80"/>
  <c r="R487" i="80"/>
  <c r="Q487" i="80"/>
  <c r="P487" i="80"/>
  <c r="O487" i="80"/>
  <c r="N487" i="80"/>
  <c r="M487" i="80"/>
  <c r="L487" i="80"/>
  <c r="K487" i="80"/>
  <c r="J487" i="80"/>
  <c r="I487" i="80"/>
  <c r="H487" i="80"/>
  <c r="G487" i="80"/>
  <c r="V486" i="80"/>
  <c r="U486" i="80"/>
  <c r="T485" i="80"/>
  <c r="S485" i="80"/>
  <c r="R485" i="80"/>
  <c r="Q485" i="80"/>
  <c r="P485" i="80"/>
  <c r="O485" i="80"/>
  <c r="N485" i="80"/>
  <c r="M485" i="80"/>
  <c r="L485" i="80"/>
  <c r="K485" i="80"/>
  <c r="J485" i="80"/>
  <c r="I485" i="80"/>
  <c r="H485" i="80"/>
  <c r="G485" i="80"/>
  <c r="V484" i="80"/>
  <c r="U484" i="80"/>
  <c r="T483" i="80"/>
  <c r="T482" i="80" s="1"/>
  <c r="S483" i="80"/>
  <c r="S482" i="80" s="1"/>
  <c r="R483" i="80"/>
  <c r="Q483" i="80"/>
  <c r="Q482" i="80" s="1"/>
  <c r="P483" i="80"/>
  <c r="P482" i="80" s="1"/>
  <c r="O483" i="80"/>
  <c r="O482" i="80" s="1"/>
  <c r="N483" i="80"/>
  <c r="N482" i="80" s="1"/>
  <c r="M483" i="80"/>
  <c r="L483" i="80"/>
  <c r="K483" i="80"/>
  <c r="K482" i="80" s="1"/>
  <c r="J483" i="80"/>
  <c r="J482" i="80" s="1"/>
  <c r="I483" i="80"/>
  <c r="I482" i="80" s="1"/>
  <c r="H483" i="80"/>
  <c r="H482" i="80" s="1"/>
  <c r="G483" i="80"/>
  <c r="G482" i="80" s="1"/>
  <c r="R482" i="80"/>
  <c r="V479" i="80"/>
  <c r="U479" i="80"/>
  <c r="T478" i="80"/>
  <c r="S478" i="80"/>
  <c r="R478" i="80"/>
  <c r="Q478" i="80"/>
  <c r="P478" i="80"/>
  <c r="O478" i="80"/>
  <c r="N478" i="80"/>
  <c r="M478" i="80"/>
  <c r="L478" i="80"/>
  <c r="K478" i="80"/>
  <c r="J478" i="80"/>
  <c r="I478" i="80"/>
  <c r="H478" i="80"/>
  <c r="G478" i="80"/>
  <c r="V477" i="80"/>
  <c r="U477" i="80"/>
  <c r="T476" i="80"/>
  <c r="T475" i="80" s="1"/>
  <c r="S476" i="80"/>
  <c r="S475" i="80" s="1"/>
  <c r="R476" i="80"/>
  <c r="Q476" i="80"/>
  <c r="Q475" i="80" s="1"/>
  <c r="P476" i="80"/>
  <c r="P475" i="80" s="1"/>
  <c r="O476" i="80"/>
  <c r="O475" i="80" s="1"/>
  <c r="N476" i="80"/>
  <c r="M476" i="80"/>
  <c r="M475" i="80" s="1"/>
  <c r="L476" i="80"/>
  <c r="L475" i="80" s="1"/>
  <c r="K476" i="80"/>
  <c r="K475" i="80" s="1"/>
  <c r="J476" i="80"/>
  <c r="I476" i="80"/>
  <c r="I475" i="80" s="1"/>
  <c r="H476" i="80"/>
  <c r="H475" i="80" s="1"/>
  <c r="G476" i="80"/>
  <c r="G475" i="80" s="1"/>
  <c r="V474" i="80"/>
  <c r="U474" i="80"/>
  <c r="T473" i="80"/>
  <c r="S473" i="80"/>
  <c r="R473" i="80"/>
  <c r="Q473" i="80"/>
  <c r="P473" i="80"/>
  <c r="O473" i="80"/>
  <c r="N473" i="80"/>
  <c r="M473" i="80"/>
  <c r="L473" i="80"/>
  <c r="K473" i="80"/>
  <c r="J473" i="80"/>
  <c r="I473" i="80"/>
  <c r="H473" i="80"/>
  <c r="G473" i="80"/>
  <c r="V472" i="80"/>
  <c r="U472" i="80"/>
  <c r="T471" i="80"/>
  <c r="T470" i="80" s="1"/>
  <c r="S471" i="80"/>
  <c r="S470" i="80" s="1"/>
  <c r="R471" i="80"/>
  <c r="Q471" i="80"/>
  <c r="Q470" i="80" s="1"/>
  <c r="P471" i="80"/>
  <c r="P470" i="80" s="1"/>
  <c r="O471" i="80"/>
  <c r="O470" i="80" s="1"/>
  <c r="N471" i="80"/>
  <c r="M471" i="80"/>
  <c r="M470" i="80" s="1"/>
  <c r="L471" i="80"/>
  <c r="L470" i="80" s="1"/>
  <c r="K471" i="80"/>
  <c r="K470" i="80" s="1"/>
  <c r="J471" i="80"/>
  <c r="I471" i="80"/>
  <c r="H471" i="80"/>
  <c r="H470" i="80" s="1"/>
  <c r="G471" i="80"/>
  <c r="G470" i="80" s="1"/>
  <c r="V469" i="80"/>
  <c r="U469" i="80"/>
  <c r="T468" i="80"/>
  <c r="S468" i="80"/>
  <c r="R468" i="80"/>
  <c r="Q468" i="80"/>
  <c r="P468" i="80"/>
  <c r="O468" i="80"/>
  <c r="N468" i="80"/>
  <c r="M468" i="80"/>
  <c r="L468" i="80"/>
  <c r="K468" i="80"/>
  <c r="J468" i="80"/>
  <c r="I468" i="80"/>
  <c r="H468" i="80"/>
  <c r="G468" i="80"/>
  <c r="V467" i="80"/>
  <c r="U467" i="80"/>
  <c r="T466" i="80"/>
  <c r="T465" i="80" s="1"/>
  <c r="S466" i="80"/>
  <c r="S465" i="80" s="1"/>
  <c r="R466" i="80"/>
  <c r="R465" i="80" s="1"/>
  <c r="Q466" i="80"/>
  <c r="Q465" i="80" s="1"/>
  <c r="P466" i="80"/>
  <c r="P465" i="80" s="1"/>
  <c r="O466" i="80"/>
  <c r="O465" i="80" s="1"/>
  <c r="N466" i="80"/>
  <c r="N465" i="80" s="1"/>
  <c r="M466" i="80"/>
  <c r="M465" i="80" s="1"/>
  <c r="L466" i="80"/>
  <c r="K466" i="80"/>
  <c r="K465" i="80" s="1"/>
  <c r="J466" i="80"/>
  <c r="J465" i="80" s="1"/>
  <c r="I466" i="80"/>
  <c r="I465" i="80" s="1"/>
  <c r="H466" i="80"/>
  <c r="H465" i="80" s="1"/>
  <c r="G466" i="80"/>
  <c r="G465" i="80" s="1"/>
  <c r="V464" i="80"/>
  <c r="T463" i="80"/>
  <c r="S463" i="80"/>
  <c r="R463" i="80"/>
  <c r="Q463" i="80"/>
  <c r="P463" i="80"/>
  <c r="O463" i="80"/>
  <c r="N463" i="80"/>
  <c r="M463" i="80"/>
  <c r="L463" i="80"/>
  <c r="K463" i="80"/>
  <c r="J463" i="80"/>
  <c r="I463" i="80"/>
  <c r="H463" i="80"/>
  <c r="G463" i="80"/>
  <c r="V462" i="80"/>
  <c r="U462" i="80"/>
  <c r="T461" i="80"/>
  <c r="T460" i="80" s="1"/>
  <c r="S461" i="80"/>
  <c r="S460" i="80" s="1"/>
  <c r="R461" i="80"/>
  <c r="Q461" i="80"/>
  <c r="Q460" i="80" s="1"/>
  <c r="P461" i="80"/>
  <c r="P460" i="80" s="1"/>
  <c r="O461" i="80"/>
  <c r="O460" i="80" s="1"/>
  <c r="N461" i="80"/>
  <c r="N460" i="80" s="1"/>
  <c r="M461" i="80"/>
  <c r="M459" i="80" s="1"/>
  <c r="M458" i="80" s="1"/>
  <c r="L461" i="80"/>
  <c r="L459" i="80" s="1"/>
  <c r="L458" i="80" s="1"/>
  <c r="K461" i="80"/>
  <c r="J461" i="80"/>
  <c r="J460" i="80" s="1"/>
  <c r="I461" i="80"/>
  <c r="H461" i="80"/>
  <c r="H460" i="80" s="1"/>
  <c r="G461" i="80"/>
  <c r="G460" i="80" s="1"/>
  <c r="R460" i="80"/>
  <c r="V456" i="80"/>
  <c r="U456" i="80"/>
  <c r="J455" i="80"/>
  <c r="V455" i="80" s="1"/>
  <c r="H455" i="80"/>
  <c r="U455" i="80" s="1"/>
  <c r="T454" i="80"/>
  <c r="T453" i="80" s="1"/>
  <c r="T452" i="80" s="1"/>
  <c r="T451" i="80" s="1"/>
  <c r="S454" i="80"/>
  <c r="S453" i="80" s="1"/>
  <c r="S452" i="80" s="1"/>
  <c r="S451" i="80" s="1"/>
  <c r="R454" i="80"/>
  <c r="R453" i="80" s="1"/>
  <c r="R452" i="80" s="1"/>
  <c r="R451" i="80" s="1"/>
  <c r="Q454" i="80"/>
  <c r="Q453" i="80" s="1"/>
  <c r="Q452" i="80" s="1"/>
  <c r="Q451" i="80" s="1"/>
  <c r="P454" i="80"/>
  <c r="P453" i="80" s="1"/>
  <c r="P452" i="80" s="1"/>
  <c r="P451" i="80" s="1"/>
  <c r="O454" i="80"/>
  <c r="O453" i="80" s="1"/>
  <c r="O452" i="80" s="1"/>
  <c r="O451" i="80" s="1"/>
  <c r="N454" i="80"/>
  <c r="M454" i="80"/>
  <c r="M453" i="80" s="1"/>
  <c r="M452" i="80" s="1"/>
  <c r="M451" i="80" s="1"/>
  <c r="L454" i="80"/>
  <c r="L453" i="80" s="1"/>
  <c r="L452" i="80" s="1"/>
  <c r="L451" i="80" s="1"/>
  <c r="K454" i="80"/>
  <c r="K453" i="80" s="1"/>
  <c r="K452" i="80" s="1"/>
  <c r="K451" i="80" s="1"/>
  <c r="J454" i="80"/>
  <c r="J453" i="80" s="1"/>
  <c r="J452" i="80" s="1"/>
  <c r="J451" i="80" s="1"/>
  <c r="I454" i="80"/>
  <c r="I453" i="80" s="1"/>
  <c r="I452" i="80" s="1"/>
  <c r="I451" i="80" s="1"/>
  <c r="G454" i="80"/>
  <c r="V450" i="80"/>
  <c r="U450" i="80"/>
  <c r="T449" i="80"/>
  <c r="S449" i="80"/>
  <c r="R449" i="80"/>
  <c r="Q449" i="80"/>
  <c r="P449" i="80"/>
  <c r="O449" i="80"/>
  <c r="N449" i="80"/>
  <c r="M449" i="80"/>
  <c r="L449" i="80"/>
  <c r="K449" i="80"/>
  <c r="J449" i="80"/>
  <c r="I449" i="80"/>
  <c r="H449" i="80"/>
  <c r="G449" i="80"/>
  <c r="V448" i="80"/>
  <c r="U448" i="80"/>
  <c r="T447" i="80"/>
  <c r="S447" i="80"/>
  <c r="R447" i="80"/>
  <c r="Q447" i="80"/>
  <c r="P447" i="80"/>
  <c r="O447" i="80"/>
  <c r="N447" i="80"/>
  <c r="M447" i="80"/>
  <c r="L447" i="80"/>
  <c r="K447" i="80"/>
  <c r="J447" i="80"/>
  <c r="I447" i="80"/>
  <c r="H447" i="80"/>
  <c r="G447" i="80"/>
  <c r="V446" i="80"/>
  <c r="U446" i="80"/>
  <c r="T445" i="80"/>
  <c r="S445" i="80"/>
  <c r="R445" i="80"/>
  <c r="Q445" i="80"/>
  <c r="P445" i="80"/>
  <c r="O445" i="80"/>
  <c r="N445" i="80"/>
  <c r="M445" i="80"/>
  <c r="L445" i="80"/>
  <c r="K445" i="80"/>
  <c r="J445" i="80"/>
  <c r="I445" i="80"/>
  <c r="H445" i="80"/>
  <c r="G445" i="80"/>
  <c r="V444" i="80"/>
  <c r="U444" i="80"/>
  <c r="T443" i="80"/>
  <c r="S443" i="80"/>
  <c r="R443" i="80"/>
  <c r="Q443" i="80"/>
  <c r="P443" i="80"/>
  <c r="O443" i="80"/>
  <c r="N443" i="80"/>
  <c r="M443" i="80"/>
  <c r="L443" i="80"/>
  <c r="K443" i="80"/>
  <c r="J443" i="80"/>
  <c r="I443" i="80"/>
  <c r="H443" i="80"/>
  <c r="G443" i="80"/>
  <c r="V442" i="80"/>
  <c r="U442" i="80"/>
  <c r="T441" i="80"/>
  <c r="S441" i="80"/>
  <c r="R441" i="80"/>
  <c r="Q441" i="80"/>
  <c r="P441" i="80"/>
  <c r="O441" i="80"/>
  <c r="N441" i="80"/>
  <c r="M441" i="80"/>
  <c r="L441" i="80"/>
  <c r="K441" i="80"/>
  <c r="J441" i="80"/>
  <c r="I441" i="80"/>
  <c r="H441" i="80"/>
  <c r="G441" i="80"/>
  <c r="V440" i="80"/>
  <c r="U440" i="80"/>
  <c r="T439" i="80"/>
  <c r="S439" i="80"/>
  <c r="R439" i="80"/>
  <c r="Q439" i="80"/>
  <c r="P439" i="80"/>
  <c r="O439" i="80"/>
  <c r="N439" i="80"/>
  <c r="M439" i="80"/>
  <c r="L439" i="80"/>
  <c r="K439" i="80"/>
  <c r="J439" i="80"/>
  <c r="I439" i="80"/>
  <c r="H439" i="80"/>
  <c r="G439" i="80"/>
  <c r="V438" i="80"/>
  <c r="U438" i="80"/>
  <c r="T437" i="80"/>
  <c r="T436" i="80" s="1"/>
  <c r="T435" i="80" s="1"/>
  <c r="T434" i="80" s="1"/>
  <c r="S437" i="80"/>
  <c r="S436" i="80" s="1"/>
  <c r="S435" i="80" s="1"/>
  <c r="S434" i="80" s="1"/>
  <c r="R437" i="80"/>
  <c r="Q437" i="80"/>
  <c r="Q436" i="80" s="1"/>
  <c r="Q435" i="80" s="1"/>
  <c r="Q434" i="80" s="1"/>
  <c r="P437" i="80"/>
  <c r="P436" i="80" s="1"/>
  <c r="P435" i="80" s="1"/>
  <c r="P434" i="80" s="1"/>
  <c r="O437" i="80"/>
  <c r="O436" i="80" s="1"/>
  <c r="O435" i="80" s="1"/>
  <c r="O434" i="80" s="1"/>
  <c r="N437" i="80"/>
  <c r="M437" i="80"/>
  <c r="M436" i="80" s="1"/>
  <c r="L437" i="80"/>
  <c r="L436" i="80" s="1"/>
  <c r="L435" i="80" s="1"/>
  <c r="L434" i="80" s="1"/>
  <c r="K437" i="80"/>
  <c r="K436" i="80" s="1"/>
  <c r="K435" i="80" s="1"/>
  <c r="K434" i="80" s="1"/>
  <c r="J437" i="80"/>
  <c r="I437" i="80"/>
  <c r="I436" i="80" s="1"/>
  <c r="I435" i="80" s="1"/>
  <c r="I434" i="80" s="1"/>
  <c r="H437" i="80"/>
  <c r="H436" i="80" s="1"/>
  <c r="H435" i="80" s="1"/>
  <c r="H434" i="80" s="1"/>
  <c r="G437" i="80"/>
  <c r="G436" i="80" s="1"/>
  <c r="G435" i="80" s="1"/>
  <c r="V432" i="80"/>
  <c r="U432" i="80"/>
  <c r="T431" i="80"/>
  <c r="T430" i="80" s="1"/>
  <c r="T429" i="80" s="1"/>
  <c r="T428" i="80" s="1"/>
  <c r="S431" i="80"/>
  <c r="S430" i="80" s="1"/>
  <c r="S429" i="80" s="1"/>
  <c r="S428" i="80" s="1"/>
  <c r="R431" i="80"/>
  <c r="R430" i="80" s="1"/>
  <c r="R429" i="80" s="1"/>
  <c r="R428" i="80" s="1"/>
  <c r="Q431" i="80"/>
  <c r="Q430" i="80" s="1"/>
  <c r="Q429" i="80" s="1"/>
  <c r="Q428" i="80" s="1"/>
  <c r="P431" i="80"/>
  <c r="P430" i="80" s="1"/>
  <c r="P429" i="80" s="1"/>
  <c r="P428" i="80" s="1"/>
  <c r="O431" i="80"/>
  <c r="O430" i="80" s="1"/>
  <c r="O429" i="80" s="1"/>
  <c r="O428" i="80" s="1"/>
  <c r="N431" i="80"/>
  <c r="M431" i="80"/>
  <c r="M430" i="80" s="1"/>
  <c r="M429" i="80" s="1"/>
  <c r="M428" i="80" s="1"/>
  <c r="L431" i="80"/>
  <c r="L430" i="80" s="1"/>
  <c r="L429" i="80" s="1"/>
  <c r="L428" i="80" s="1"/>
  <c r="K431" i="80"/>
  <c r="K430" i="80" s="1"/>
  <c r="K429" i="80" s="1"/>
  <c r="K428" i="80" s="1"/>
  <c r="J431" i="80"/>
  <c r="J430" i="80" s="1"/>
  <c r="J429" i="80" s="1"/>
  <c r="J428" i="80" s="1"/>
  <c r="I431" i="80"/>
  <c r="I430" i="80" s="1"/>
  <c r="I429" i="80" s="1"/>
  <c r="I428" i="80" s="1"/>
  <c r="H431" i="80"/>
  <c r="H430" i="80" s="1"/>
  <c r="H429" i="80" s="1"/>
  <c r="H428" i="80" s="1"/>
  <c r="G431" i="80"/>
  <c r="G430" i="80" s="1"/>
  <c r="G429" i="80" s="1"/>
  <c r="G428" i="80" s="1"/>
  <c r="V427" i="80"/>
  <c r="U427" i="80"/>
  <c r="V426" i="80"/>
  <c r="U426" i="80"/>
  <c r="T425" i="80"/>
  <c r="T424" i="80" s="1"/>
  <c r="S425" i="80"/>
  <c r="S424" i="80" s="1"/>
  <c r="R425" i="80"/>
  <c r="R424" i="80" s="1"/>
  <c r="Q425" i="80"/>
  <c r="Q424" i="80" s="1"/>
  <c r="P425" i="80"/>
  <c r="P424" i="80" s="1"/>
  <c r="O425" i="80"/>
  <c r="O424" i="80" s="1"/>
  <c r="N425" i="80"/>
  <c r="M425" i="80"/>
  <c r="M424" i="80" s="1"/>
  <c r="L425" i="80"/>
  <c r="L424" i="80" s="1"/>
  <c r="K425" i="80"/>
  <c r="K424" i="80" s="1"/>
  <c r="J425" i="80"/>
  <c r="J424" i="80" s="1"/>
  <c r="I425" i="80"/>
  <c r="I424" i="80" s="1"/>
  <c r="H425" i="80"/>
  <c r="H424" i="80" s="1"/>
  <c r="G425" i="80"/>
  <c r="V423" i="80"/>
  <c r="U423" i="80"/>
  <c r="T422" i="80"/>
  <c r="T421" i="80" s="1"/>
  <c r="S422" i="80"/>
  <c r="S421" i="80" s="1"/>
  <c r="R422" i="80"/>
  <c r="Q422" i="80"/>
  <c r="Q421" i="80" s="1"/>
  <c r="P422" i="80"/>
  <c r="P421" i="80" s="1"/>
  <c r="O422" i="80"/>
  <c r="O421" i="80" s="1"/>
  <c r="N422" i="80"/>
  <c r="N421" i="80" s="1"/>
  <c r="M422" i="80"/>
  <c r="M421" i="80" s="1"/>
  <c r="L422" i="80"/>
  <c r="K422" i="80"/>
  <c r="K421" i="80" s="1"/>
  <c r="J422" i="80"/>
  <c r="J421" i="80" s="1"/>
  <c r="I422" i="80"/>
  <c r="I421" i="80" s="1"/>
  <c r="H422" i="80"/>
  <c r="H421" i="80" s="1"/>
  <c r="G422" i="80"/>
  <c r="G421" i="80" s="1"/>
  <c r="R421" i="80"/>
  <c r="V417" i="80"/>
  <c r="U417" i="80"/>
  <c r="T416" i="80"/>
  <c r="S416" i="80"/>
  <c r="R416" i="80"/>
  <c r="Q416" i="80"/>
  <c r="P416" i="80"/>
  <c r="O416" i="80"/>
  <c r="N416" i="80"/>
  <c r="M416" i="80"/>
  <c r="L416" i="80"/>
  <c r="K416" i="80"/>
  <c r="J416" i="80"/>
  <c r="I416" i="80"/>
  <c r="H416" i="80"/>
  <c r="G416" i="80"/>
  <c r="V415" i="80"/>
  <c r="U415" i="80"/>
  <c r="T414" i="80"/>
  <c r="T413" i="80" s="1"/>
  <c r="S414" i="80"/>
  <c r="S413" i="80" s="1"/>
  <c r="R414" i="80"/>
  <c r="Q414" i="80"/>
  <c r="Q413" i="80" s="1"/>
  <c r="P414" i="80"/>
  <c r="P413" i="80" s="1"/>
  <c r="O414" i="80"/>
  <c r="O413" i="80" s="1"/>
  <c r="N414" i="80"/>
  <c r="M414" i="80"/>
  <c r="M413" i="80" s="1"/>
  <c r="L414" i="80"/>
  <c r="K414" i="80"/>
  <c r="K413" i="80" s="1"/>
  <c r="J414" i="80"/>
  <c r="I414" i="80"/>
  <c r="I413" i="80" s="1"/>
  <c r="H414" i="80"/>
  <c r="H413" i="80" s="1"/>
  <c r="G414" i="80"/>
  <c r="G413" i="80" s="1"/>
  <c r="V412" i="80"/>
  <c r="U412" i="80"/>
  <c r="T411" i="80"/>
  <c r="T410" i="80" s="1"/>
  <c r="S411" i="80"/>
  <c r="S410" i="80" s="1"/>
  <c r="R411" i="80"/>
  <c r="R410" i="80" s="1"/>
  <c r="Q411" i="80"/>
  <c r="Q410" i="80" s="1"/>
  <c r="P411" i="80"/>
  <c r="P410" i="80" s="1"/>
  <c r="O411" i="80"/>
  <c r="O410" i="80" s="1"/>
  <c r="N411" i="80"/>
  <c r="M411" i="80"/>
  <c r="M410" i="80" s="1"/>
  <c r="L411" i="80"/>
  <c r="L410" i="80" s="1"/>
  <c r="K411" i="80"/>
  <c r="K410" i="80" s="1"/>
  <c r="J411" i="80"/>
  <c r="J410" i="80" s="1"/>
  <c r="I411" i="80"/>
  <c r="I410" i="80" s="1"/>
  <c r="H411" i="80"/>
  <c r="H410" i="80" s="1"/>
  <c r="G411" i="80"/>
  <c r="V409" i="80"/>
  <c r="U409" i="80"/>
  <c r="T408" i="80"/>
  <c r="S408" i="80"/>
  <c r="R408" i="80"/>
  <c r="Q408" i="80"/>
  <c r="P408" i="80"/>
  <c r="O408" i="80"/>
  <c r="N408" i="80"/>
  <c r="M408" i="80"/>
  <c r="L408" i="80"/>
  <c r="K408" i="80"/>
  <c r="J408" i="80"/>
  <c r="I408" i="80"/>
  <c r="H408" i="80"/>
  <c r="G408" i="80"/>
  <c r="V407" i="80"/>
  <c r="U407" i="80"/>
  <c r="T406" i="80"/>
  <c r="S406" i="80"/>
  <c r="R406" i="80"/>
  <c r="Q406" i="80"/>
  <c r="P406" i="80"/>
  <c r="O406" i="80"/>
  <c r="N406" i="80"/>
  <c r="M406" i="80"/>
  <c r="L406" i="80"/>
  <c r="K406" i="80"/>
  <c r="J406" i="80"/>
  <c r="I406" i="80"/>
  <c r="H406" i="80"/>
  <c r="G406" i="80"/>
  <c r="V405" i="80"/>
  <c r="U405" i="80"/>
  <c r="V404" i="80"/>
  <c r="U404" i="80"/>
  <c r="V403" i="80"/>
  <c r="U403" i="80"/>
  <c r="T402" i="80"/>
  <c r="S402" i="80"/>
  <c r="R402" i="80"/>
  <c r="Q402" i="80"/>
  <c r="P402" i="80"/>
  <c r="O402" i="80"/>
  <c r="N402" i="80"/>
  <c r="M402" i="80"/>
  <c r="L402" i="80"/>
  <c r="K402" i="80"/>
  <c r="J402" i="80"/>
  <c r="I402" i="80"/>
  <c r="H402" i="80"/>
  <c r="G402" i="80"/>
  <c r="V401" i="80"/>
  <c r="U401" i="80"/>
  <c r="T400" i="80"/>
  <c r="S400" i="80"/>
  <c r="R400" i="80"/>
  <c r="Q400" i="80"/>
  <c r="P400" i="80"/>
  <c r="O400" i="80"/>
  <c r="N400" i="80"/>
  <c r="M400" i="80"/>
  <c r="L400" i="80"/>
  <c r="K400" i="80"/>
  <c r="J400" i="80"/>
  <c r="I400" i="80"/>
  <c r="H400" i="80"/>
  <c r="G400" i="80"/>
  <c r="V399" i="80"/>
  <c r="U399" i="80"/>
  <c r="V398" i="80"/>
  <c r="U398" i="80"/>
  <c r="V397" i="80"/>
  <c r="U397" i="80"/>
  <c r="T396" i="80"/>
  <c r="S396" i="80"/>
  <c r="R396" i="80"/>
  <c r="Q396" i="80"/>
  <c r="P396" i="80"/>
  <c r="O396" i="80"/>
  <c r="N396" i="80"/>
  <c r="M396" i="80"/>
  <c r="L396" i="80"/>
  <c r="K396" i="80"/>
  <c r="J396" i="80"/>
  <c r="I396" i="80"/>
  <c r="H396" i="80"/>
  <c r="G396" i="80"/>
  <c r="V395" i="80"/>
  <c r="U395" i="80"/>
  <c r="J394" i="80"/>
  <c r="V394" i="80" s="1"/>
  <c r="H394" i="80"/>
  <c r="V393" i="80"/>
  <c r="U393" i="80"/>
  <c r="T392" i="80"/>
  <c r="S392" i="80"/>
  <c r="R392" i="80"/>
  <c r="Q392" i="80"/>
  <c r="P392" i="80"/>
  <c r="O392" i="80"/>
  <c r="N392" i="80"/>
  <c r="M392" i="80"/>
  <c r="L392" i="80"/>
  <c r="K392" i="80"/>
  <c r="I392" i="80"/>
  <c r="G392" i="80"/>
  <c r="V391" i="80"/>
  <c r="U391" i="80"/>
  <c r="J390" i="80"/>
  <c r="V390" i="80" s="1"/>
  <c r="H390" i="80"/>
  <c r="U390" i="80" s="1"/>
  <c r="V389" i="80"/>
  <c r="U389" i="80"/>
  <c r="T388" i="80"/>
  <c r="S388" i="80"/>
  <c r="R388" i="80"/>
  <c r="Q388" i="80"/>
  <c r="P388" i="80"/>
  <c r="O388" i="80"/>
  <c r="N388" i="80"/>
  <c r="M388" i="80"/>
  <c r="L388" i="80"/>
  <c r="K388" i="80"/>
  <c r="I388" i="80"/>
  <c r="G388" i="80"/>
  <c r="V387" i="80"/>
  <c r="U387" i="80"/>
  <c r="T386" i="80"/>
  <c r="S386" i="80"/>
  <c r="R386" i="80"/>
  <c r="Q386" i="80"/>
  <c r="P386" i="80"/>
  <c r="O386" i="80"/>
  <c r="N386" i="80"/>
  <c r="M386" i="80"/>
  <c r="L386" i="80"/>
  <c r="K386" i="80"/>
  <c r="J386" i="80"/>
  <c r="I386" i="80"/>
  <c r="H386" i="80"/>
  <c r="G386" i="80"/>
  <c r="V384" i="80"/>
  <c r="U384" i="80"/>
  <c r="T383" i="80"/>
  <c r="S383" i="80"/>
  <c r="R383" i="80"/>
  <c r="Q383" i="80"/>
  <c r="P383" i="80"/>
  <c r="O383" i="80"/>
  <c r="N383" i="80"/>
  <c r="M383" i="80"/>
  <c r="L383" i="80"/>
  <c r="K383" i="80"/>
  <c r="J383" i="80"/>
  <c r="I383" i="80"/>
  <c r="H383" i="80"/>
  <c r="G383" i="80"/>
  <c r="V382" i="80"/>
  <c r="U382" i="80"/>
  <c r="T381" i="80"/>
  <c r="S381" i="80"/>
  <c r="S380" i="80" s="1"/>
  <c r="R381" i="80"/>
  <c r="Q381" i="80"/>
  <c r="P381" i="80"/>
  <c r="O381" i="80"/>
  <c r="O380" i="80" s="1"/>
  <c r="N381" i="80"/>
  <c r="N380" i="80" s="1"/>
  <c r="M381" i="80"/>
  <c r="M380" i="80" s="1"/>
  <c r="L381" i="80"/>
  <c r="K381" i="80"/>
  <c r="K380" i="80" s="1"/>
  <c r="J381" i="80"/>
  <c r="J380" i="80" s="1"/>
  <c r="I381" i="80"/>
  <c r="I380" i="80" s="1"/>
  <c r="H381" i="80"/>
  <c r="G381" i="80"/>
  <c r="G380" i="80" s="1"/>
  <c r="R380" i="80"/>
  <c r="V379" i="80"/>
  <c r="U379" i="80"/>
  <c r="T378" i="80"/>
  <c r="S378" i="80"/>
  <c r="R378" i="80"/>
  <c r="Q378" i="80"/>
  <c r="P378" i="80"/>
  <c r="O378" i="80"/>
  <c r="N378" i="80"/>
  <c r="M378" i="80"/>
  <c r="L378" i="80"/>
  <c r="K378" i="80"/>
  <c r="J378" i="80"/>
  <c r="I378" i="80"/>
  <c r="H378" i="80"/>
  <c r="G378" i="80"/>
  <c r="V376" i="80"/>
  <c r="U376" i="80"/>
  <c r="T375" i="80"/>
  <c r="S375" i="80"/>
  <c r="R375" i="80"/>
  <c r="Q375" i="80"/>
  <c r="P375" i="80"/>
  <c r="O375" i="80"/>
  <c r="N375" i="80"/>
  <c r="M375" i="80"/>
  <c r="L375" i="80"/>
  <c r="K375" i="80"/>
  <c r="J375" i="80"/>
  <c r="I375" i="80"/>
  <c r="H375" i="80"/>
  <c r="G375" i="80"/>
  <c r="V374" i="80"/>
  <c r="U374" i="80"/>
  <c r="V373" i="80"/>
  <c r="U373" i="80"/>
  <c r="T372" i="80"/>
  <c r="T371" i="80" s="1"/>
  <c r="S372" i="80"/>
  <c r="S371" i="80" s="1"/>
  <c r="R372" i="80"/>
  <c r="R371" i="80" s="1"/>
  <c r="Q372" i="80"/>
  <c r="Q371" i="80" s="1"/>
  <c r="P372" i="80"/>
  <c r="P371" i="80" s="1"/>
  <c r="O372" i="80"/>
  <c r="O371" i="80" s="1"/>
  <c r="N372" i="80"/>
  <c r="N371" i="80" s="1"/>
  <c r="M372" i="80"/>
  <c r="M371" i="80" s="1"/>
  <c r="L372" i="80"/>
  <c r="L371" i="80" s="1"/>
  <c r="K372" i="80"/>
  <c r="K371" i="80" s="1"/>
  <c r="J372" i="80"/>
  <c r="J371" i="80" s="1"/>
  <c r="I372" i="80"/>
  <c r="I371" i="80" s="1"/>
  <c r="H372" i="80"/>
  <c r="H371" i="80" s="1"/>
  <c r="G372" i="80"/>
  <c r="G371" i="80" s="1"/>
  <c r="V370" i="80"/>
  <c r="U370" i="80"/>
  <c r="T369" i="80"/>
  <c r="T368" i="80" s="1"/>
  <c r="S369" i="80"/>
  <c r="S368" i="80" s="1"/>
  <c r="R369" i="80"/>
  <c r="Q369" i="80"/>
  <c r="Q368" i="80" s="1"/>
  <c r="P369" i="80"/>
  <c r="P368" i="80" s="1"/>
  <c r="O369" i="80"/>
  <c r="O368" i="80" s="1"/>
  <c r="N369" i="80"/>
  <c r="N368" i="80" s="1"/>
  <c r="M369" i="80"/>
  <c r="M368" i="80" s="1"/>
  <c r="L369" i="80"/>
  <c r="L368" i="80" s="1"/>
  <c r="K369" i="80"/>
  <c r="K368" i="80" s="1"/>
  <c r="J369" i="80"/>
  <c r="J368" i="80" s="1"/>
  <c r="I369" i="80"/>
  <c r="I368" i="80" s="1"/>
  <c r="H369" i="80"/>
  <c r="H368" i="80" s="1"/>
  <c r="G369" i="80"/>
  <c r="R368" i="80"/>
  <c r="V365" i="80"/>
  <c r="U365" i="80"/>
  <c r="V364" i="80"/>
  <c r="U364" i="80"/>
  <c r="T363" i="80"/>
  <c r="T362" i="80" s="1"/>
  <c r="T361" i="80" s="1"/>
  <c r="S363" i="80"/>
  <c r="S362" i="80" s="1"/>
  <c r="S361" i="80" s="1"/>
  <c r="R363" i="80"/>
  <c r="Q363" i="80"/>
  <c r="Q362" i="80" s="1"/>
  <c r="Q361" i="80" s="1"/>
  <c r="P363" i="80"/>
  <c r="P362" i="80" s="1"/>
  <c r="P361" i="80" s="1"/>
  <c r="O363" i="80"/>
  <c r="O362" i="80" s="1"/>
  <c r="O361" i="80" s="1"/>
  <c r="N363" i="80"/>
  <c r="N362" i="80" s="1"/>
  <c r="N361" i="80" s="1"/>
  <c r="M363" i="80"/>
  <c r="M362" i="80" s="1"/>
  <c r="M361" i="80" s="1"/>
  <c r="L363" i="80"/>
  <c r="L362" i="80" s="1"/>
  <c r="L361" i="80" s="1"/>
  <c r="K363" i="80"/>
  <c r="K362" i="80" s="1"/>
  <c r="K361" i="80" s="1"/>
  <c r="J363" i="80"/>
  <c r="J362" i="80" s="1"/>
  <c r="J361" i="80" s="1"/>
  <c r="I363" i="80"/>
  <c r="I362" i="80" s="1"/>
  <c r="I361" i="80" s="1"/>
  <c r="H363" i="80"/>
  <c r="H362" i="80" s="1"/>
  <c r="H361" i="80" s="1"/>
  <c r="G363" i="80"/>
  <c r="G362" i="80" s="1"/>
  <c r="R362" i="80"/>
  <c r="R361" i="80" s="1"/>
  <c r="V360" i="80"/>
  <c r="U360" i="80"/>
  <c r="T359" i="80"/>
  <c r="T358" i="80" s="1"/>
  <c r="T357" i="80" s="1"/>
  <c r="S359" i="80"/>
  <c r="S358" i="80" s="1"/>
  <c r="S357" i="80" s="1"/>
  <c r="R359" i="80"/>
  <c r="Q359" i="80"/>
  <c r="Q358" i="80" s="1"/>
  <c r="Q357" i="80" s="1"/>
  <c r="P359" i="80"/>
  <c r="P358" i="80" s="1"/>
  <c r="P357" i="80" s="1"/>
  <c r="O359" i="80"/>
  <c r="O358" i="80" s="1"/>
  <c r="O357" i="80" s="1"/>
  <c r="N359" i="80"/>
  <c r="N358" i="80" s="1"/>
  <c r="M359" i="80"/>
  <c r="M358" i="80" s="1"/>
  <c r="M357" i="80" s="1"/>
  <c r="L359" i="80"/>
  <c r="L358" i="80" s="1"/>
  <c r="L357" i="80" s="1"/>
  <c r="K359" i="80"/>
  <c r="K358" i="80" s="1"/>
  <c r="K357" i="80" s="1"/>
  <c r="J359" i="80"/>
  <c r="J358" i="80" s="1"/>
  <c r="J357" i="80" s="1"/>
  <c r="I359" i="80"/>
  <c r="I358" i="80" s="1"/>
  <c r="I357" i="80" s="1"/>
  <c r="H359" i="80"/>
  <c r="H358" i="80" s="1"/>
  <c r="H357" i="80" s="1"/>
  <c r="G359" i="80"/>
  <c r="G358" i="80" s="1"/>
  <c r="G357" i="80" s="1"/>
  <c r="R358" i="80"/>
  <c r="R357" i="80" s="1"/>
  <c r="V356" i="80"/>
  <c r="U356" i="80"/>
  <c r="T355" i="80"/>
  <c r="S355" i="80"/>
  <c r="R355" i="80"/>
  <c r="Q355" i="80"/>
  <c r="P355" i="80"/>
  <c r="O355" i="80"/>
  <c r="N355" i="80"/>
  <c r="M355" i="80"/>
  <c r="L355" i="80"/>
  <c r="K355" i="80"/>
  <c r="J355" i="80"/>
  <c r="I355" i="80"/>
  <c r="H355" i="80"/>
  <c r="G355" i="80"/>
  <c r="V354" i="80"/>
  <c r="U354" i="80"/>
  <c r="T353" i="80"/>
  <c r="S353" i="80"/>
  <c r="R353" i="80"/>
  <c r="Q353" i="80"/>
  <c r="P353" i="80"/>
  <c r="O353" i="80"/>
  <c r="N353" i="80"/>
  <c r="M353" i="80"/>
  <c r="L353" i="80"/>
  <c r="K353" i="80"/>
  <c r="J353" i="80"/>
  <c r="I353" i="80"/>
  <c r="H353" i="80"/>
  <c r="G353" i="80"/>
  <c r="V352" i="80"/>
  <c r="U352" i="80"/>
  <c r="V351" i="80"/>
  <c r="U351" i="80"/>
  <c r="V350" i="80"/>
  <c r="U350" i="80"/>
  <c r="T349" i="80"/>
  <c r="T348" i="80" s="1"/>
  <c r="S349" i="80"/>
  <c r="S348" i="80" s="1"/>
  <c r="R349" i="80"/>
  <c r="R348" i="80" s="1"/>
  <c r="Q349" i="80"/>
  <c r="Q348" i="80" s="1"/>
  <c r="P349" i="80"/>
  <c r="P348" i="80" s="1"/>
  <c r="O349" i="80"/>
  <c r="O348" i="80" s="1"/>
  <c r="N349" i="80"/>
  <c r="N348" i="80" s="1"/>
  <c r="M349" i="80"/>
  <c r="M348" i="80" s="1"/>
  <c r="L349" i="80"/>
  <c r="L348" i="80" s="1"/>
  <c r="K349" i="80"/>
  <c r="K348" i="80" s="1"/>
  <c r="J349" i="80"/>
  <c r="J348" i="80" s="1"/>
  <c r="I349" i="80"/>
  <c r="I348" i="80" s="1"/>
  <c r="H349" i="80"/>
  <c r="H348" i="80" s="1"/>
  <c r="G349" i="80"/>
  <c r="G348" i="80" s="1"/>
  <c r="V347" i="80"/>
  <c r="U347" i="80"/>
  <c r="T346" i="80"/>
  <c r="T345" i="80" s="1"/>
  <c r="S346" i="80"/>
  <c r="S345" i="80" s="1"/>
  <c r="R346" i="80"/>
  <c r="R345" i="80" s="1"/>
  <c r="Q346" i="80"/>
  <c r="Q345" i="80" s="1"/>
  <c r="P346" i="80"/>
  <c r="P345" i="80" s="1"/>
  <c r="O346" i="80"/>
  <c r="O345" i="80" s="1"/>
  <c r="N346" i="80"/>
  <c r="N345" i="80" s="1"/>
  <c r="M346" i="80"/>
  <c r="M345" i="80" s="1"/>
  <c r="L346" i="80"/>
  <c r="L345" i="80" s="1"/>
  <c r="K346" i="80"/>
  <c r="K345" i="80" s="1"/>
  <c r="J346" i="80"/>
  <c r="J345" i="80" s="1"/>
  <c r="I346" i="80"/>
  <c r="I345" i="80" s="1"/>
  <c r="H346" i="80"/>
  <c r="H345" i="80" s="1"/>
  <c r="G346" i="80"/>
  <c r="G345" i="80" s="1"/>
  <c r="V344" i="80"/>
  <c r="U344" i="80"/>
  <c r="V343" i="80"/>
  <c r="U343" i="80"/>
  <c r="T342" i="80"/>
  <c r="S342" i="80"/>
  <c r="R342" i="80"/>
  <c r="Q342" i="80"/>
  <c r="P342" i="80"/>
  <c r="O342" i="80"/>
  <c r="N342" i="80"/>
  <c r="M342" i="80"/>
  <c r="L342" i="80"/>
  <c r="K342" i="80"/>
  <c r="J342" i="80"/>
  <c r="I342" i="80"/>
  <c r="H342" i="80"/>
  <c r="G342" i="80"/>
  <c r="V341" i="80"/>
  <c r="U341" i="80"/>
  <c r="V340" i="80"/>
  <c r="U340" i="80"/>
  <c r="T339" i="80"/>
  <c r="S339" i="80"/>
  <c r="R339" i="80"/>
  <c r="Q339" i="80"/>
  <c r="P339" i="80"/>
  <c r="O339" i="80"/>
  <c r="N339" i="80"/>
  <c r="M339" i="80"/>
  <c r="L339" i="80"/>
  <c r="K339" i="80"/>
  <c r="J339" i="80"/>
  <c r="I339" i="80"/>
  <c r="H339" i="80"/>
  <c r="G339" i="80"/>
  <c r="V337" i="80"/>
  <c r="U337" i="80"/>
  <c r="T336" i="80"/>
  <c r="S336" i="80"/>
  <c r="R336" i="80"/>
  <c r="Q336" i="80"/>
  <c r="P336" i="80"/>
  <c r="O336" i="80"/>
  <c r="N336" i="80"/>
  <c r="M336" i="80"/>
  <c r="L336" i="80"/>
  <c r="K336" i="80"/>
  <c r="J336" i="80"/>
  <c r="I336" i="80"/>
  <c r="H336" i="80"/>
  <c r="G336" i="80"/>
  <c r="V335" i="80"/>
  <c r="U335" i="80"/>
  <c r="T334" i="80"/>
  <c r="T333" i="80" s="1"/>
  <c r="S334" i="80"/>
  <c r="S333" i="80" s="1"/>
  <c r="R334" i="80"/>
  <c r="R333" i="80" s="1"/>
  <c r="Q334" i="80"/>
  <c r="Q333" i="80" s="1"/>
  <c r="P334" i="80"/>
  <c r="P333" i="80" s="1"/>
  <c r="O334" i="80"/>
  <c r="O333" i="80" s="1"/>
  <c r="N334" i="80"/>
  <c r="N333" i="80" s="1"/>
  <c r="M334" i="80"/>
  <c r="M333" i="80" s="1"/>
  <c r="L334" i="80"/>
  <c r="L333" i="80" s="1"/>
  <c r="K334" i="80"/>
  <c r="K333" i="80" s="1"/>
  <c r="J334" i="80"/>
  <c r="J333" i="80" s="1"/>
  <c r="I334" i="80"/>
  <c r="I333" i="80" s="1"/>
  <c r="H334" i="80"/>
  <c r="H333" i="80" s="1"/>
  <c r="G334" i="80"/>
  <c r="G333" i="80" s="1"/>
  <c r="V331" i="80"/>
  <c r="U331" i="80"/>
  <c r="V330" i="80"/>
  <c r="U330" i="80"/>
  <c r="T329" i="80"/>
  <c r="T328" i="80" s="1"/>
  <c r="T327" i="80" s="1"/>
  <c r="S329" i="80"/>
  <c r="S328" i="80" s="1"/>
  <c r="S327" i="80" s="1"/>
  <c r="R329" i="80"/>
  <c r="R328" i="80" s="1"/>
  <c r="R327" i="80" s="1"/>
  <c r="Q329" i="80"/>
  <c r="Q328" i="80" s="1"/>
  <c r="Q327" i="80" s="1"/>
  <c r="P329" i="80"/>
  <c r="P328" i="80" s="1"/>
  <c r="P327" i="80" s="1"/>
  <c r="O329" i="80"/>
  <c r="O328" i="80" s="1"/>
  <c r="O327" i="80" s="1"/>
  <c r="N329" i="80"/>
  <c r="M329" i="80"/>
  <c r="M328" i="80" s="1"/>
  <c r="M327" i="80" s="1"/>
  <c r="L329" i="80"/>
  <c r="L328" i="80" s="1"/>
  <c r="L327" i="80" s="1"/>
  <c r="K329" i="80"/>
  <c r="K328" i="80" s="1"/>
  <c r="K327" i="80" s="1"/>
  <c r="J329" i="80"/>
  <c r="J328" i="80" s="1"/>
  <c r="J327" i="80" s="1"/>
  <c r="I329" i="80"/>
  <c r="I328" i="80" s="1"/>
  <c r="I327" i="80" s="1"/>
  <c r="H329" i="80"/>
  <c r="H328" i="80" s="1"/>
  <c r="H327" i="80" s="1"/>
  <c r="G329" i="80"/>
  <c r="G328" i="80" s="1"/>
  <c r="G327" i="80" s="1"/>
  <c r="V325" i="80"/>
  <c r="U325" i="80"/>
  <c r="T324" i="80"/>
  <c r="T323" i="80" s="1"/>
  <c r="S324" i="80"/>
  <c r="S323" i="80" s="1"/>
  <c r="R324" i="80"/>
  <c r="R323" i="80" s="1"/>
  <c r="Q324" i="80"/>
  <c r="Q323" i="80" s="1"/>
  <c r="P324" i="80"/>
  <c r="P323" i="80" s="1"/>
  <c r="O324" i="80"/>
  <c r="O322" i="80" s="1"/>
  <c r="O321" i="80" s="1"/>
  <c r="N324" i="80"/>
  <c r="N323" i="80" s="1"/>
  <c r="M324" i="80"/>
  <c r="M323" i="80" s="1"/>
  <c r="L324" i="80"/>
  <c r="L322" i="80" s="1"/>
  <c r="K324" i="80"/>
  <c r="K323" i="80" s="1"/>
  <c r="J324" i="80"/>
  <c r="I324" i="80"/>
  <c r="I323" i="80" s="1"/>
  <c r="H324" i="80"/>
  <c r="H323" i="80" s="1"/>
  <c r="G324" i="80"/>
  <c r="G322" i="80" s="1"/>
  <c r="G321" i="80" s="1"/>
  <c r="V318" i="80"/>
  <c r="U318" i="80"/>
  <c r="T317" i="80"/>
  <c r="T316" i="80" s="1"/>
  <c r="T315" i="80" s="1"/>
  <c r="T314" i="80" s="1"/>
  <c r="T313" i="80" s="1"/>
  <c r="S317" i="80"/>
  <c r="S316" i="80" s="1"/>
  <c r="S315" i="80" s="1"/>
  <c r="S314" i="80" s="1"/>
  <c r="S313" i="80" s="1"/>
  <c r="R317" i="80"/>
  <c r="R316" i="80" s="1"/>
  <c r="R315" i="80" s="1"/>
  <c r="R314" i="80" s="1"/>
  <c r="R313" i="80" s="1"/>
  <c r="Q317" i="80"/>
  <c r="Q316" i="80" s="1"/>
  <c r="Q315" i="80" s="1"/>
  <c r="Q314" i="80" s="1"/>
  <c r="Q313" i="80" s="1"/>
  <c r="P317" i="80"/>
  <c r="P316" i="80" s="1"/>
  <c r="P315" i="80" s="1"/>
  <c r="P314" i="80" s="1"/>
  <c r="P313" i="80" s="1"/>
  <c r="O317" i="80"/>
  <c r="O316" i="80" s="1"/>
  <c r="O315" i="80" s="1"/>
  <c r="O314" i="80" s="1"/>
  <c r="O313" i="80" s="1"/>
  <c r="N317" i="80"/>
  <c r="M317" i="80"/>
  <c r="L317" i="80"/>
  <c r="L316" i="80" s="1"/>
  <c r="L315" i="80" s="1"/>
  <c r="L314" i="80" s="1"/>
  <c r="L313" i="80" s="1"/>
  <c r="K317" i="80"/>
  <c r="K316" i="80" s="1"/>
  <c r="K315" i="80" s="1"/>
  <c r="K314" i="80" s="1"/>
  <c r="K313" i="80" s="1"/>
  <c r="J317" i="80"/>
  <c r="J316" i="80" s="1"/>
  <c r="J315" i="80" s="1"/>
  <c r="J314" i="80" s="1"/>
  <c r="J313" i="80" s="1"/>
  <c r="I317" i="80"/>
  <c r="I316" i="80" s="1"/>
  <c r="I315" i="80" s="1"/>
  <c r="I314" i="80" s="1"/>
  <c r="I313" i="80" s="1"/>
  <c r="H317" i="80"/>
  <c r="H316" i="80" s="1"/>
  <c r="H315" i="80" s="1"/>
  <c r="H314" i="80" s="1"/>
  <c r="H313" i="80" s="1"/>
  <c r="G317" i="80"/>
  <c r="G316" i="80" s="1"/>
  <c r="G315" i="80" s="1"/>
  <c r="G314" i="80" s="1"/>
  <c r="G313" i="80" s="1"/>
  <c r="V312" i="80"/>
  <c r="U312" i="80"/>
  <c r="T311" i="80"/>
  <c r="S311" i="80"/>
  <c r="R311" i="80"/>
  <c r="Q311" i="80"/>
  <c r="P311" i="80"/>
  <c r="O311" i="80"/>
  <c r="N311" i="80"/>
  <c r="M311" i="80"/>
  <c r="L311" i="80"/>
  <c r="K311" i="80"/>
  <c r="J311" i="80"/>
  <c r="I311" i="80"/>
  <c r="H311" i="80"/>
  <c r="G311" i="80"/>
  <c r="V310" i="80"/>
  <c r="U310" i="80"/>
  <c r="T309" i="80"/>
  <c r="S309" i="80"/>
  <c r="R309" i="80"/>
  <c r="Q309" i="80"/>
  <c r="P309" i="80"/>
  <c r="O309" i="80"/>
  <c r="N309" i="80"/>
  <c r="M309" i="80"/>
  <c r="L309" i="80"/>
  <c r="K309" i="80"/>
  <c r="J309" i="80"/>
  <c r="I309" i="80"/>
  <c r="H309" i="80"/>
  <c r="G309" i="80"/>
  <c r="T308" i="80"/>
  <c r="S308" i="80"/>
  <c r="R308" i="80"/>
  <c r="Q308" i="80"/>
  <c r="P308" i="80"/>
  <c r="O308" i="80"/>
  <c r="N308" i="80"/>
  <c r="M308" i="80"/>
  <c r="L308" i="80"/>
  <c r="K308" i="80"/>
  <c r="J308" i="80"/>
  <c r="I308" i="80"/>
  <c r="H308" i="80"/>
  <c r="G308" i="80"/>
  <c r="V304" i="80"/>
  <c r="U304" i="80"/>
  <c r="T303" i="80"/>
  <c r="S303" i="80"/>
  <c r="R303" i="80"/>
  <c r="Q303" i="80"/>
  <c r="P303" i="80"/>
  <c r="O303" i="80"/>
  <c r="N303" i="80"/>
  <c r="M303" i="80"/>
  <c r="L303" i="80"/>
  <c r="K303" i="80"/>
  <c r="J303" i="80"/>
  <c r="I303" i="80"/>
  <c r="H303" i="80"/>
  <c r="G303" i="80"/>
  <c r="V302" i="80"/>
  <c r="U302" i="80"/>
  <c r="T301" i="80"/>
  <c r="T300" i="80" s="1"/>
  <c r="S301" i="80"/>
  <c r="S300" i="80" s="1"/>
  <c r="S299" i="80" s="1"/>
  <c r="S298" i="80" s="1"/>
  <c r="R301" i="80"/>
  <c r="R300" i="80" s="1"/>
  <c r="R299" i="80" s="1"/>
  <c r="R298" i="80" s="1"/>
  <c r="Q301" i="80"/>
  <c r="Q300" i="80" s="1"/>
  <c r="Q299" i="80" s="1"/>
  <c r="Q298" i="80" s="1"/>
  <c r="P301" i="80"/>
  <c r="P300" i="80" s="1"/>
  <c r="O301" i="80"/>
  <c r="O300" i="80" s="1"/>
  <c r="O299" i="80" s="1"/>
  <c r="O298" i="80" s="1"/>
  <c r="N301" i="80"/>
  <c r="M301" i="80"/>
  <c r="M300" i="80" s="1"/>
  <c r="M299" i="80" s="1"/>
  <c r="L301" i="80"/>
  <c r="L300" i="80" s="1"/>
  <c r="K301" i="80"/>
  <c r="K300" i="80" s="1"/>
  <c r="K299" i="80" s="1"/>
  <c r="K298" i="80" s="1"/>
  <c r="J301" i="80"/>
  <c r="J300" i="80" s="1"/>
  <c r="J299" i="80" s="1"/>
  <c r="J298" i="80" s="1"/>
  <c r="I301" i="80"/>
  <c r="I300" i="80" s="1"/>
  <c r="I299" i="80" s="1"/>
  <c r="I298" i="80" s="1"/>
  <c r="H301" i="80"/>
  <c r="H300" i="80" s="1"/>
  <c r="G301" i="80"/>
  <c r="G300" i="80" s="1"/>
  <c r="G299" i="80" s="1"/>
  <c r="G298" i="80" s="1"/>
  <c r="V297" i="80"/>
  <c r="H297" i="80"/>
  <c r="U297" i="80" s="1"/>
  <c r="T296" i="80"/>
  <c r="T295" i="80" s="1"/>
  <c r="T294" i="80" s="1"/>
  <c r="S296" i="80"/>
  <c r="S295" i="80" s="1"/>
  <c r="S294" i="80" s="1"/>
  <c r="R296" i="80"/>
  <c r="R295" i="80" s="1"/>
  <c r="R294" i="80" s="1"/>
  <c r="Q296" i="80"/>
  <c r="Q295" i="80" s="1"/>
  <c r="Q294" i="80" s="1"/>
  <c r="P296" i="80"/>
  <c r="P295" i="80" s="1"/>
  <c r="P294" i="80" s="1"/>
  <c r="O296" i="80"/>
  <c r="O295" i="80" s="1"/>
  <c r="O294" i="80" s="1"/>
  <c r="N296" i="80"/>
  <c r="N295" i="80" s="1"/>
  <c r="N294" i="80" s="1"/>
  <c r="M296" i="80"/>
  <c r="L296" i="80"/>
  <c r="L295" i="80" s="1"/>
  <c r="L294" i="80" s="1"/>
  <c r="K296" i="80"/>
  <c r="K295" i="80" s="1"/>
  <c r="K294" i="80" s="1"/>
  <c r="J296" i="80"/>
  <c r="J295" i="80" s="1"/>
  <c r="J294" i="80" s="1"/>
  <c r="I296" i="80"/>
  <c r="G296" i="80"/>
  <c r="G295" i="80" s="1"/>
  <c r="G294" i="80" s="1"/>
  <c r="V292" i="80"/>
  <c r="V757" i="80" s="1"/>
  <c r="U292" i="80"/>
  <c r="U757" i="80" s="1"/>
  <c r="T291" i="80"/>
  <c r="S291" i="80"/>
  <c r="R291" i="80"/>
  <c r="Q291" i="80"/>
  <c r="P291" i="80"/>
  <c r="O291" i="80"/>
  <c r="N291" i="80"/>
  <c r="M291" i="80"/>
  <c r="L291" i="80"/>
  <c r="K291" i="80"/>
  <c r="J291" i="80"/>
  <c r="I291" i="80"/>
  <c r="H291" i="80"/>
  <c r="G291" i="80"/>
  <c r="V290" i="80"/>
  <c r="U290" i="80"/>
  <c r="T289" i="80"/>
  <c r="T288" i="80" s="1"/>
  <c r="T287" i="80" s="1"/>
  <c r="T286" i="80" s="1"/>
  <c r="S289" i="80"/>
  <c r="R289" i="80"/>
  <c r="R288" i="80" s="1"/>
  <c r="R287" i="80" s="1"/>
  <c r="R286" i="80" s="1"/>
  <c r="Q289" i="80"/>
  <c r="Q288" i="80" s="1"/>
  <c r="Q287" i="80" s="1"/>
  <c r="Q286" i="80" s="1"/>
  <c r="P289" i="80"/>
  <c r="P288" i="80" s="1"/>
  <c r="P287" i="80" s="1"/>
  <c r="P286" i="80" s="1"/>
  <c r="O289" i="80"/>
  <c r="N289" i="80"/>
  <c r="N288" i="80" s="1"/>
  <c r="N287" i="80" s="1"/>
  <c r="N286" i="80" s="1"/>
  <c r="M289" i="80"/>
  <c r="L289" i="80"/>
  <c r="L288" i="80" s="1"/>
  <c r="L287" i="80" s="1"/>
  <c r="L286" i="80" s="1"/>
  <c r="K289" i="80"/>
  <c r="J289" i="80"/>
  <c r="J288" i="80" s="1"/>
  <c r="J287" i="80" s="1"/>
  <c r="J286" i="80" s="1"/>
  <c r="I289" i="80"/>
  <c r="I288" i="80" s="1"/>
  <c r="H289" i="80"/>
  <c r="H288" i="80" s="1"/>
  <c r="H287" i="80" s="1"/>
  <c r="H286" i="80" s="1"/>
  <c r="G289" i="80"/>
  <c r="V285" i="80"/>
  <c r="U285" i="80"/>
  <c r="T284" i="80"/>
  <c r="S284" i="80"/>
  <c r="R284" i="80"/>
  <c r="Q284" i="80"/>
  <c r="P284" i="80"/>
  <c r="O284" i="80"/>
  <c r="N284" i="80"/>
  <c r="M284" i="80"/>
  <c r="L284" i="80"/>
  <c r="K284" i="80"/>
  <c r="J284" i="80"/>
  <c r="I284" i="80"/>
  <c r="H284" i="80"/>
  <c r="G284" i="80"/>
  <c r="V283" i="80"/>
  <c r="U283" i="80"/>
  <c r="V282" i="80"/>
  <c r="U282" i="80"/>
  <c r="T281" i="80"/>
  <c r="T280" i="80" s="1"/>
  <c r="S281" i="80"/>
  <c r="S280" i="80" s="1"/>
  <c r="R281" i="80"/>
  <c r="R280" i="80" s="1"/>
  <c r="Q281" i="80"/>
  <c r="Q280" i="80" s="1"/>
  <c r="P281" i="80"/>
  <c r="P280" i="80" s="1"/>
  <c r="O281" i="80"/>
  <c r="O280" i="80" s="1"/>
  <c r="N281" i="80"/>
  <c r="N280" i="80" s="1"/>
  <c r="M281" i="80"/>
  <c r="M280" i="80" s="1"/>
  <c r="L281" i="80"/>
  <c r="L280" i="80" s="1"/>
  <c r="K281" i="80"/>
  <c r="K280" i="80" s="1"/>
  <c r="J281" i="80"/>
  <c r="J280" i="80" s="1"/>
  <c r="I281" i="80"/>
  <c r="I280" i="80" s="1"/>
  <c r="H281" i="80"/>
  <c r="H280" i="80" s="1"/>
  <c r="G281" i="80"/>
  <c r="V279" i="80"/>
  <c r="U279" i="80"/>
  <c r="T278" i="80"/>
  <c r="T277" i="80" s="1"/>
  <c r="S278" i="80"/>
  <c r="S277" i="80" s="1"/>
  <c r="R278" i="80"/>
  <c r="R277" i="80" s="1"/>
  <c r="Q278" i="80"/>
  <c r="Q277" i="80" s="1"/>
  <c r="P278" i="80"/>
  <c r="P277" i="80" s="1"/>
  <c r="O278" i="80"/>
  <c r="O277" i="80" s="1"/>
  <c r="N278" i="80"/>
  <c r="N277" i="80" s="1"/>
  <c r="M278" i="80"/>
  <c r="L278" i="80"/>
  <c r="L277" i="80" s="1"/>
  <c r="K278" i="80"/>
  <c r="K277" i="80" s="1"/>
  <c r="J278" i="80"/>
  <c r="J277" i="80" s="1"/>
  <c r="I278" i="80"/>
  <c r="H278" i="80"/>
  <c r="H277" i="80" s="1"/>
  <c r="G278" i="80"/>
  <c r="G277" i="80" s="1"/>
  <c r="V274" i="80"/>
  <c r="U274" i="80"/>
  <c r="V273" i="80"/>
  <c r="U273" i="80"/>
  <c r="T272" i="80"/>
  <c r="T271" i="80" s="1"/>
  <c r="S272" i="80"/>
  <c r="S271" i="80" s="1"/>
  <c r="R272" i="80"/>
  <c r="Q272" i="80"/>
  <c r="Q271" i="80" s="1"/>
  <c r="P272" i="80"/>
  <c r="P271" i="80" s="1"/>
  <c r="O272" i="80"/>
  <c r="O271" i="80" s="1"/>
  <c r="N272" i="80"/>
  <c r="N271" i="80" s="1"/>
  <c r="M272" i="80"/>
  <c r="L272" i="80"/>
  <c r="L271" i="80" s="1"/>
  <c r="K272" i="80"/>
  <c r="K271" i="80" s="1"/>
  <c r="J272" i="80"/>
  <c r="J271" i="80" s="1"/>
  <c r="I272" i="80"/>
  <c r="H272" i="80"/>
  <c r="H271" i="80" s="1"/>
  <c r="G272" i="80"/>
  <c r="G271" i="80" s="1"/>
  <c r="R271" i="80"/>
  <c r="V270" i="80"/>
  <c r="U270" i="80"/>
  <c r="T269" i="80"/>
  <c r="T268" i="80" s="1"/>
  <c r="S269" i="80"/>
  <c r="S268" i="80" s="1"/>
  <c r="R269" i="80"/>
  <c r="R268" i="80" s="1"/>
  <c r="Q269" i="80"/>
  <c r="Q268" i="80" s="1"/>
  <c r="P269" i="80"/>
  <c r="P268" i="80" s="1"/>
  <c r="O269" i="80"/>
  <c r="O268" i="80" s="1"/>
  <c r="N269" i="80"/>
  <c r="N268" i="80" s="1"/>
  <c r="M269" i="80"/>
  <c r="M268" i="80" s="1"/>
  <c r="L269" i="80"/>
  <c r="L268" i="80" s="1"/>
  <c r="K269" i="80"/>
  <c r="K268" i="80" s="1"/>
  <c r="J269" i="80"/>
  <c r="J268" i="80" s="1"/>
  <c r="I269" i="80"/>
  <c r="I268" i="80" s="1"/>
  <c r="H269" i="80"/>
  <c r="H268" i="80" s="1"/>
  <c r="G269" i="80"/>
  <c r="V263" i="80"/>
  <c r="U263" i="80"/>
  <c r="T262" i="80"/>
  <c r="T261" i="80" s="1"/>
  <c r="S262" i="80"/>
  <c r="S261" i="80" s="1"/>
  <c r="R262" i="80"/>
  <c r="R261" i="80" s="1"/>
  <c r="Q262" i="80"/>
  <c r="Q261" i="80" s="1"/>
  <c r="P262" i="80"/>
  <c r="P261" i="80" s="1"/>
  <c r="O262" i="80"/>
  <c r="O261" i="80" s="1"/>
  <c r="N262" i="80"/>
  <c r="N261" i="80" s="1"/>
  <c r="M262" i="80"/>
  <c r="L262" i="80"/>
  <c r="L261" i="80" s="1"/>
  <c r="K262" i="80"/>
  <c r="K261" i="80" s="1"/>
  <c r="J262" i="80"/>
  <c r="J261" i="80" s="1"/>
  <c r="I262" i="80"/>
  <c r="H262" i="80"/>
  <c r="H261" i="80" s="1"/>
  <c r="G262" i="80"/>
  <c r="G261" i="80" s="1"/>
  <c r="V260" i="80"/>
  <c r="U260" i="80"/>
  <c r="T259" i="80"/>
  <c r="S259" i="80"/>
  <c r="R259" i="80"/>
  <c r="Q259" i="80"/>
  <c r="P259" i="80"/>
  <c r="O259" i="80"/>
  <c r="N259" i="80"/>
  <c r="M259" i="80"/>
  <c r="L259" i="80"/>
  <c r="K259" i="80"/>
  <c r="J259" i="80"/>
  <c r="I259" i="80"/>
  <c r="H259" i="80"/>
  <c r="G259" i="80"/>
  <c r="V258" i="80"/>
  <c r="U258" i="80"/>
  <c r="T257" i="80"/>
  <c r="T256" i="80" s="1"/>
  <c r="T255" i="80" s="1"/>
  <c r="S257" i="80"/>
  <c r="S256" i="80" s="1"/>
  <c r="S255" i="80" s="1"/>
  <c r="R257" i="80"/>
  <c r="Q257" i="80"/>
  <c r="Q256" i="80" s="1"/>
  <c r="Q255" i="80" s="1"/>
  <c r="P257" i="80"/>
  <c r="P256" i="80" s="1"/>
  <c r="P255" i="80" s="1"/>
  <c r="O257" i="80"/>
  <c r="O256" i="80" s="1"/>
  <c r="O255" i="80" s="1"/>
  <c r="N257" i="80"/>
  <c r="N256" i="80" s="1"/>
  <c r="N255" i="80" s="1"/>
  <c r="M257" i="80"/>
  <c r="M256" i="80" s="1"/>
  <c r="M255" i="80" s="1"/>
  <c r="L257" i="80"/>
  <c r="L256" i="80" s="1"/>
  <c r="L255" i="80" s="1"/>
  <c r="K257" i="80"/>
  <c r="K256" i="80" s="1"/>
  <c r="K255" i="80" s="1"/>
  <c r="J257" i="80"/>
  <c r="J256" i="80" s="1"/>
  <c r="J255" i="80" s="1"/>
  <c r="I257" i="80"/>
  <c r="H257" i="80"/>
  <c r="H256" i="80" s="1"/>
  <c r="H255" i="80" s="1"/>
  <c r="G257" i="80"/>
  <c r="R256" i="80"/>
  <c r="R255" i="80" s="1"/>
  <c r="J254" i="80"/>
  <c r="V254" i="80" s="1"/>
  <c r="H254" i="80"/>
  <c r="H253" i="80" s="1"/>
  <c r="T253" i="80"/>
  <c r="S253" i="80"/>
  <c r="R253" i="80"/>
  <c r="Q253" i="80"/>
  <c r="P253" i="80"/>
  <c r="O253" i="80"/>
  <c r="N253" i="80"/>
  <c r="M253" i="80"/>
  <c r="L253" i="80"/>
  <c r="K253" i="80"/>
  <c r="J253" i="80"/>
  <c r="I253" i="80"/>
  <c r="G253" i="80"/>
  <c r="J252" i="80"/>
  <c r="V252" i="80" s="1"/>
  <c r="H252" i="80"/>
  <c r="H251" i="80" s="1"/>
  <c r="T251" i="80"/>
  <c r="S251" i="80"/>
  <c r="R251" i="80"/>
  <c r="Q251" i="80"/>
  <c r="P251" i="80"/>
  <c r="O251" i="80"/>
  <c r="N251" i="80"/>
  <c r="M251" i="80"/>
  <c r="L251" i="80"/>
  <c r="K251" i="80"/>
  <c r="J251" i="80"/>
  <c r="I251" i="80"/>
  <c r="G251" i="80"/>
  <c r="V249" i="80"/>
  <c r="U249" i="80"/>
  <c r="T248" i="80"/>
  <c r="S248" i="80"/>
  <c r="R248" i="80"/>
  <c r="Q248" i="80"/>
  <c r="P248" i="80"/>
  <c r="O248" i="80"/>
  <c r="N248" i="80"/>
  <c r="M248" i="80"/>
  <c r="L248" i="80"/>
  <c r="K248" i="80"/>
  <c r="J248" i="80"/>
  <c r="I248" i="80"/>
  <c r="H248" i="80"/>
  <c r="G248" i="80"/>
  <c r="V247" i="80"/>
  <c r="U247" i="80"/>
  <c r="T246" i="80"/>
  <c r="S246" i="80"/>
  <c r="R246" i="80"/>
  <c r="Q246" i="80"/>
  <c r="P246" i="80"/>
  <c r="O246" i="80"/>
  <c r="N246" i="80"/>
  <c r="M246" i="80"/>
  <c r="L246" i="80"/>
  <c r="K246" i="80"/>
  <c r="J246" i="80"/>
  <c r="I246" i="80"/>
  <c r="H246" i="80"/>
  <c r="G246" i="80"/>
  <c r="V245" i="80"/>
  <c r="U245" i="80"/>
  <c r="V244" i="80"/>
  <c r="U244" i="80"/>
  <c r="V243" i="80"/>
  <c r="U243" i="80"/>
  <c r="T242" i="80"/>
  <c r="T241" i="80" s="1"/>
  <c r="S242" i="80"/>
  <c r="S241" i="80" s="1"/>
  <c r="R242" i="80"/>
  <c r="Q242" i="80"/>
  <c r="P242" i="80"/>
  <c r="P241" i="80" s="1"/>
  <c r="O242" i="80"/>
  <c r="O241" i="80" s="1"/>
  <c r="N242" i="80"/>
  <c r="M242" i="80"/>
  <c r="L242" i="80"/>
  <c r="K242" i="80"/>
  <c r="K241" i="80" s="1"/>
  <c r="J242" i="80"/>
  <c r="I242" i="80"/>
  <c r="H242" i="80"/>
  <c r="H241" i="80" s="1"/>
  <c r="G242" i="80"/>
  <c r="G241" i="80" s="1"/>
  <c r="V240" i="80"/>
  <c r="U240" i="80"/>
  <c r="T239" i="80"/>
  <c r="S239" i="80"/>
  <c r="R239" i="80"/>
  <c r="Q239" i="80"/>
  <c r="P239" i="80"/>
  <c r="O239" i="80"/>
  <c r="N239" i="80"/>
  <c r="M239" i="80"/>
  <c r="L239" i="80"/>
  <c r="K239" i="80"/>
  <c r="J239" i="80"/>
  <c r="I239" i="80"/>
  <c r="H239" i="80"/>
  <c r="G239" i="80"/>
  <c r="V236" i="80"/>
  <c r="V760" i="80" s="1"/>
  <c r="U236" i="80"/>
  <c r="U760" i="80" s="1"/>
  <c r="T235" i="80"/>
  <c r="T234" i="80" s="1"/>
  <c r="S235" i="80"/>
  <c r="S234" i="80" s="1"/>
  <c r="R235" i="80"/>
  <c r="R234" i="80" s="1"/>
  <c r="Q235" i="80"/>
  <c r="Q234" i="80" s="1"/>
  <c r="P235" i="80"/>
  <c r="P234" i="80" s="1"/>
  <c r="O235" i="80"/>
  <c r="O234" i="80" s="1"/>
  <c r="N235" i="80"/>
  <c r="N234" i="80" s="1"/>
  <c r="M235" i="80"/>
  <c r="M234" i="80" s="1"/>
  <c r="L235" i="80"/>
  <c r="L234" i="80" s="1"/>
  <c r="K235" i="80"/>
  <c r="K234" i="80" s="1"/>
  <c r="J235" i="80"/>
  <c r="J234" i="80" s="1"/>
  <c r="I235" i="80"/>
  <c r="I234" i="80" s="1"/>
  <c r="H235" i="80"/>
  <c r="H234" i="80" s="1"/>
  <c r="G235" i="80"/>
  <c r="V233" i="80"/>
  <c r="U233" i="80"/>
  <c r="T232" i="80"/>
  <c r="T231" i="80" s="1"/>
  <c r="S232" i="80"/>
  <c r="S231" i="80" s="1"/>
  <c r="R232" i="80"/>
  <c r="Q232" i="80"/>
  <c r="Q231" i="80" s="1"/>
  <c r="P232" i="80"/>
  <c r="P231" i="80" s="1"/>
  <c r="O232" i="80"/>
  <c r="O231" i="80" s="1"/>
  <c r="N232" i="80"/>
  <c r="N231" i="80" s="1"/>
  <c r="M232" i="80"/>
  <c r="L232" i="80"/>
  <c r="L231" i="80" s="1"/>
  <c r="K232" i="80"/>
  <c r="K231" i="80" s="1"/>
  <c r="J232" i="80"/>
  <c r="J231" i="80" s="1"/>
  <c r="I232" i="80"/>
  <c r="I231" i="80" s="1"/>
  <c r="H232" i="80"/>
  <c r="H231" i="80" s="1"/>
  <c r="G232" i="80"/>
  <c r="G231" i="80" s="1"/>
  <c r="R231" i="80"/>
  <c r="J227" i="80"/>
  <c r="V227" i="80" s="1"/>
  <c r="H227" i="80"/>
  <c r="U227" i="80" s="1"/>
  <c r="T226" i="80"/>
  <c r="T225" i="80" s="1"/>
  <c r="T224" i="80" s="1"/>
  <c r="T223" i="80" s="1"/>
  <c r="S226" i="80"/>
  <c r="S225" i="80" s="1"/>
  <c r="S224" i="80" s="1"/>
  <c r="S223" i="80" s="1"/>
  <c r="R226" i="80"/>
  <c r="R225" i="80" s="1"/>
  <c r="R224" i="80" s="1"/>
  <c r="R223" i="80" s="1"/>
  <c r="Q226" i="80"/>
  <c r="Q225" i="80" s="1"/>
  <c r="Q224" i="80" s="1"/>
  <c r="Q223" i="80" s="1"/>
  <c r="P226" i="80"/>
  <c r="P225" i="80" s="1"/>
  <c r="P224" i="80" s="1"/>
  <c r="P223" i="80" s="1"/>
  <c r="O226" i="80"/>
  <c r="O225" i="80" s="1"/>
  <c r="O224" i="80" s="1"/>
  <c r="O223" i="80" s="1"/>
  <c r="N226" i="80"/>
  <c r="N225" i="80" s="1"/>
  <c r="N224" i="80" s="1"/>
  <c r="M226" i="80"/>
  <c r="L226" i="80"/>
  <c r="L225" i="80" s="1"/>
  <c r="L224" i="80" s="1"/>
  <c r="L223" i="80" s="1"/>
  <c r="K226" i="80"/>
  <c r="K225" i="80" s="1"/>
  <c r="K224" i="80" s="1"/>
  <c r="K223" i="80" s="1"/>
  <c r="J226" i="80"/>
  <c r="J225" i="80" s="1"/>
  <c r="J224" i="80" s="1"/>
  <c r="J223" i="80" s="1"/>
  <c r="I226" i="80"/>
  <c r="I225" i="80" s="1"/>
  <c r="I224" i="80" s="1"/>
  <c r="I223" i="80" s="1"/>
  <c r="G226" i="80"/>
  <c r="G225" i="80" s="1"/>
  <c r="G224" i="80" s="1"/>
  <c r="G223" i="80" s="1"/>
  <c r="V222" i="80"/>
  <c r="U222" i="80"/>
  <c r="T221" i="80"/>
  <c r="T220" i="80" s="1"/>
  <c r="T219" i="80" s="1"/>
  <c r="T218" i="80" s="1"/>
  <c r="S221" i="80"/>
  <c r="S220" i="80" s="1"/>
  <c r="S219" i="80" s="1"/>
  <c r="S218" i="80" s="1"/>
  <c r="R221" i="80"/>
  <c r="Q221" i="80"/>
  <c r="P221" i="80"/>
  <c r="P220" i="80" s="1"/>
  <c r="P219" i="80" s="1"/>
  <c r="P218" i="80" s="1"/>
  <c r="O221" i="80"/>
  <c r="O220" i="80" s="1"/>
  <c r="O219" i="80" s="1"/>
  <c r="O218" i="80" s="1"/>
  <c r="N221" i="80"/>
  <c r="N220" i="80" s="1"/>
  <c r="N219" i="80" s="1"/>
  <c r="N218" i="80" s="1"/>
  <c r="M221" i="80"/>
  <c r="M220" i="80" s="1"/>
  <c r="M219" i="80" s="1"/>
  <c r="M218" i="80" s="1"/>
  <c r="L221" i="80"/>
  <c r="K221" i="80"/>
  <c r="K220" i="80" s="1"/>
  <c r="K219" i="80" s="1"/>
  <c r="K218" i="80" s="1"/>
  <c r="J221" i="80"/>
  <c r="J220" i="80" s="1"/>
  <c r="J219" i="80" s="1"/>
  <c r="J218" i="80" s="1"/>
  <c r="I221" i="80"/>
  <c r="I220" i="80" s="1"/>
  <c r="I219" i="80" s="1"/>
  <c r="I218" i="80" s="1"/>
  <c r="H221" i="80"/>
  <c r="H220" i="80" s="1"/>
  <c r="H219" i="80" s="1"/>
  <c r="H218" i="80" s="1"/>
  <c r="G221" i="80"/>
  <c r="R220" i="80"/>
  <c r="R219" i="80" s="1"/>
  <c r="R218" i="80" s="1"/>
  <c r="Q220" i="80"/>
  <c r="Q219" i="80" s="1"/>
  <c r="Q218" i="80" s="1"/>
  <c r="V217" i="80"/>
  <c r="U217" i="80"/>
  <c r="T216" i="80"/>
  <c r="T215" i="80" s="1"/>
  <c r="T214" i="80" s="1"/>
  <c r="T213" i="80" s="1"/>
  <c r="S216" i="80"/>
  <c r="S215" i="80" s="1"/>
  <c r="S214" i="80" s="1"/>
  <c r="S213" i="80" s="1"/>
  <c r="R216" i="80"/>
  <c r="R215" i="80" s="1"/>
  <c r="R214" i="80" s="1"/>
  <c r="R213" i="80" s="1"/>
  <c r="Q216" i="80"/>
  <c r="Q215" i="80" s="1"/>
  <c r="Q214" i="80" s="1"/>
  <c r="Q213" i="80" s="1"/>
  <c r="P216" i="80"/>
  <c r="P215" i="80" s="1"/>
  <c r="P214" i="80" s="1"/>
  <c r="P213" i="80" s="1"/>
  <c r="O216" i="80"/>
  <c r="O215" i="80" s="1"/>
  <c r="O214" i="80" s="1"/>
  <c r="O213" i="80" s="1"/>
  <c r="N216" i="80"/>
  <c r="N215" i="80" s="1"/>
  <c r="M216" i="80"/>
  <c r="L216" i="80"/>
  <c r="L215" i="80" s="1"/>
  <c r="L214" i="80" s="1"/>
  <c r="L213" i="80" s="1"/>
  <c r="K216" i="80"/>
  <c r="K215" i="80" s="1"/>
  <c r="K214" i="80" s="1"/>
  <c r="K213" i="80" s="1"/>
  <c r="J216" i="80"/>
  <c r="J215" i="80" s="1"/>
  <c r="J214" i="80" s="1"/>
  <c r="J213" i="80" s="1"/>
  <c r="I216" i="80"/>
  <c r="I215" i="80" s="1"/>
  <c r="I214" i="80" s="1"/>
  <c r="I213" i="80" s="1"/>
  <c r="H216" i="80"/>
  <c r="H215" i="80" s="1"/>
  <c r="H214" i="80" s="1"/>
  <c r="H213" i="80" s="1"/>
  <c r="G216" i="80"/>
  <c r="G215" i="80" s="1"/>
  <c r="G214" i="80" s="1"/>
  <c r="G213" i="80" s="1"/>
  <c r="V212" i="80"/>
  <c r="U212" i="80"/>
  <c r="T211" i="80"/>
  <c r="T210" i="80" s="1"/>
  <c r="T209" i="80" s="1"/>
  <c r="T208" i="80" s="1"/>
  <c r="T207" i="80" s="1"/>
  <c r="S211" i="80"/>
  <c r="S210" i="80" s="1"/>
  <c r="S209" i="80" s="1"/>
  <c r="S208" i="80" s="1"/>
  <c r="S207" i="80" s="1"/>
  <c r="R211" i="80"/>
  <c r="R210" i="80" s="1"/>
  <c r="R209" i="80" s="1"/>
  <c r="R208" i="80" s="1"/>
  <c r="R207" i="80" s="1"/>
  <c r="Q211" i="80"/>
  <c r="Q210" i="80" s="1"/>
  <c r="Q209" i="80" s="1"/>
  <c r="Q208" i="80" s="1"/>
  <c r="Q207" i="80" s="1"/>
  <c r="P211" i="80"/>
  <c r="P210" i="80" s="1"/>
  <c r="P209" i="80" s="1"/>
  <c r="P208" i="80" s="1"/>
  <c r="P207" i="80" s="1"/>
  <c r="O211" i="80"/>
  <c r="O210" i="80" s="1"/>
  <c r="O209" i="80" s="1"/>
  <c r="O208" i="80" s="1"/>
  <c r="O207" i="80" s="1"/>
  <c r="N211" i="80"/>
  <c r="N210" i="80" s="1"/>
  <c r="N209" i="80" s="1"/>
  <c r="N208" i="80" s="1"/>
  <c r="N207" i="80" s="1"/>
  <c r="M211" i="80"/>
  <c r="M210" i="80" s="1"/>
  <c r="M209" i="80" s="1"/>
  <c r="M208" i="80" s="1"/>
  <c r="M207" i="80" s="1"/>
  <c r="L211" i="80"/>
  <c r="L210" i="80" s="1"/>
  <c r="L209" i="80" s="1"/>
  <c r="K211" i="80"/>
  <c r="K210" i="80" s="1"/>
  <c r="K209" i="80" s="1"/>
  <c r="K208" i="80" s="1"/>
  <c r="K207" i="80" s="1"/>
  <c r="J211" i="80"/>
  <c r="J210" i="80" s="1"/>
  <c r="J209" i="80" s="1"/>
  <c r="J208" i="80" s="1"/>
  <c r="J207" i="80" s="1"/>
  <c r="I211" i="80"/>
  <c r="I210" i="80" s="1"/>
  <c r="I209" i="80" s="1"/>
  <c r="I208" i="80" s="1"/>
  <c r="I207" i="80" s="1"/>
  <c r="H211" i="80"/>
  <c r="H210" i="80" s="1"/>
  <c r="H209" i="80" s="1"/>
  <c r="H208" i="80" s="1"/>
  <c r="H207" i="80" s="1"/>
  <c r="G211" i="80"/>
  <c r="V206" i="80"/>
  <c r="U206" i="80"/>
  <c r="T205" i="80"/>
  <c r="T204" i="80" s="1"/>
  <c r="T203" i="80" s="1"/>
  <c r="S205" i="80"/>
  <c r="S204" i="80" s="1"/>
  <c r="S203" i="80" s="1"/>
  <c r="R205" i="80"/>
  <c r="R204" i="80" s="1"/>
  <c r="R203" i="80" s="1"/>
  <c r="Q205" i="80"/>
  <c r="Q204" i="80" s="1"/>
  <c r="Q203" i="80" s="1"/>
  <c r="P205" i="80"/>
  <c r="P204" i="80" s="1"/>
  <c r="P203" i="80" s="1"/>
  <c r="O205" i="80"/>
  <c r="O204" i="80" s="1"/>
  <c r="O203" i="80" s="1"/>
  <c r="N205" i="80"/>
  <c r="M205" i="80"/>
  <c r="M204" i="80" s="1"/>
  <c r="M203" i="80" s="1"/>
  <c r="L205" i="80"/>
  <c r="L204" i="80" s="1"/>
  <c r="L203" i="80" s="1"/>
  <c r="K205" i="80"/>
  <c r="K204" i="80" s="1"/>
  <c r="K203" i="80" s="1"/>
  <c r="J205" i="80"/>
  <c r="J204" i="80" s="1"/>
  <c r="J203" i="80" s="1"/>
  <c r="I205" i="80"/>
  <c r="I204" i="80" s="1"/>
  <c r="I203" i="80" s="1"/>
  <c r="H205" i="80"/>
  <c r="H204" i="80" s="1"/>
  <c r="H203" i="80" s="1"/>
  <c r="G205" i="80"/>
  <c r="V202" i="80"/>
  <c r="U202" i="80"/>
  <c r="T201" i="80"/>
  <c r="T200" i="80" s="1"/>
  <c r="T199" i="80" s="1"/>
  <c r="S201" i="80"/>
  <c r="S200" i="80" s="1"/>
  <c r="S199" i="80" s="1"/>
  <c r="R201" i="80"/>
  <c r="R200" i="80" s="1"/>
  <c r="R199" i="80" s="1"/>
  <c r="Q201" i="80"/>
  <c r="Q200" i="80" s="1"/>
  <c r="Q199" i="80" s="1"/>
  <c r="P201" i="80"/>
  <c r="P200" i="80" s="1"/>
  <c r="P199" i="80" s="1"/>
  <c r="O201" i="80"/>
  <c r="O200" i="80" s="1"/>
  <c r="O199" i="80" s="1"/>
  <c r="N201" i="80"/>
  <c r="M201" i="80"/>
  <c r="M200" i="80" s="1"/>
  <c r="M199" i="80" s="1"/>
  <c r="L201" i="80"/>
  <c r="L200" i="80" s="1"/>
  <c r="L199" i="80" s="1"/>
  <c r="K201" i="80"/>
  <c r="K200" i="80" s="1"/>
  <c r="K199" i="80" s="1"/>
  <c r="J201" i="80"/>
  <c r="J200" i="80" s="1"/>
  <c r="J199" i="80" s="1"/>
  <c r="I201" i="80"/>
  <c r="I200" i="80" s="1"/>
  <c r="I199" i="80" s="1"/>
  <c r="H201" i="80"/>
  <c r="H200" i="80" s="1"/>
  <c r="H199" i="80" s="1"/>
  <c r="G201" i="80"/>
  <c r="N200" i="80"/>
  <c r="N199" i="80" s="1"/>
  <c r="V198" i="80"/>
  <c r="U198" i="80"/>
  <c r="T197" i="80"/>
  <c r="T196" i="80" s="1"/>
  <c r="T195" i="80" s="1"/>
  <c r="S197" i="80"/>
  <c r="S196" i="80" s="1"/>
  <c r="S195" i="80" s="1"/>
  <c r="R197" i="80"/>
  <c r="R196" i="80" s="1"/>
  <c r="R195" i="80" s="1"/>
  <c r="Q197" i="80"/>
  <c r="Q196" i="80" s="1"/>
  <c r="Q195" i="80" s="1"/>
  <c r="P197" i="80"/>
  <c r="P196" i="80" s="1"/>
  <c r="P195" i="80" s="1"/>
  <c r="O197" i="80"/>
  <c r="O196" i="80" s="1"/>
  <c r="O195" i="80" s="1"/>
  <c r="N197" i="80"/>
  <c r="N196" i="80" s="1"/>
  <c r="N195" i="80" s="1"/>
  <c r="M197" i="80"/>
  <c r="M196" i="80" s="1"/>
  <c r="M195" i="80" s="1"/>
  <c r="L197" i="80"/>
  <c r="L196" i="80" s="1"/>
  <c r="L195" i="80" s="1"/>
  <c r="K197" i="80"/>
  <c r="K196" i="80" s="1"/>
  <c r="K195" i="80" s="1"/>
  <c r="J197" i="80"/>
  <c r="J196" i="80" s="1"/>
  <c r="J195" i="80" s="1"/>
  <c r="I197" i="80"/>
  <c r="I196" i="80" s="1"/>
  <c r="I195" i="80" s="1"/>
  <c r="H197" i="80"/>
  <c r="H196" i="80" s="1"/>
  <c r="H195" i="80" s="1"/>
  <c r="G197" i="80"/>
  <c r="G196" i="80" s="1"/>
  <c r="G195" i="80" s="1"/>
  <c r="V193" i="80"/>
  <c r="U193" i="80"/>
  <c r="T192" i="80"/>
  <c r="T191" i="80" s="1"/>
  <c r="T190" i="80" s="1"/>
  <c r="T189" i="80" s="1"/>
  <c r="S192" i="80"/>
  <c r="S191" i="80" s="1"/>
  <c r="S190" i="80" s="1"/>
  <c r="S189" i="80" s="1"/>
  <c r="R192" i="80"/>
  <c r="Q192" i="80"/>
  <c r="P192" i="80"/>
  <c r="P191" i="80" s="1"/>
  <c r="P190" i="80" s="1"/>
  <c r="P189" i="80" s="1"/>
  <c r="O192" i="80"/>
  <c r="O191" i="80" s="1"/>
  <c r="O190" i="80" s="1"/>
  <c r="O189" i="80" s="1"/>
  <c r="N192" i="80"/>
  <c r="N191" i="80" s="1"/>
  <c r="N190" i="80" s="1"/>
  <c r="N189" i="80" s="1"/>
  <c r="M192" i="80"/>
  <c r="M191" i="80" s="1"/>
  <c r="M190" i="80" s="1"/>
  <c r="M189" i="80" s="1"/>
  <c r="L192" i="80"/>
  <c r="K192" i="80"/>
  <c r="K191" i="80" s="1"/>
  <c r="K190" i="80" s="1"/>
  <c r="K189" i="80" s="1"/>
  <c r="J192" i="80"/>
  <c r="J191" i="80" s="1"/>
  <c r="J190" i="80" s="1"/>
  <c r="J189" i="80" s="1"/>
  <c r="I192" i="80"/>
  <c r="I191" i="80" s="1"/>
  <c r="I190" i="80" s="1"/>
  <c r="I189" i="80" s="1"/>
  <c r="H192" i="80"/>
  <c r="H191" i="80" s="1"/>
  <c r="H190" i="80" s="1"/>
  <c r="H189" i="80" s="1"/>
  <c r="G192" i="80"/>
  <c r="G191" i="80" s="1"/>
  <c r="G190" i="80" s="1"/>
  <c r="R191" i="80"/>
  <c r="R190" i="80" s="1"/>
  <c r="R189" i="80" s="1"/>
  <c r="Q191" i="80"/>
  <c r="Q190" i="80" s="1"/>
  <c r="Q189" i="80" s="1"/>
  <c r="V188" i="80"/>
  <c r="U188" i="80"/>
  <c r="T187" i="80"/>
  <c r="S187" i="80"/>
  <c r="R187" i="80"/>
  <c r="Q187" i="80"/>
  <c r="P187" i="80"/>
  <c r="O187" i="80"/>
  <c r="N187" i="80"/>
  <c r="M187" i="80"/>
  <c r="L187" i="80"/>
  <c r="K187" i="80"/>
  <c r="J187" i="80"/>
  <c r="I187" i="80"/>
  <c r="H187" i="80"/>
  <c r="G187" i="80"/>
  <c r="V186" i="80"/>
  <c r="U186" i="80"/>
  <c r="T185" i="80"/>
  <c r="T184" i="80" s="1"/>
  <c r="S185" i="80"/>
  <c r="S184" i="80" s="1"/>
  <c r="R185" i="80"/>
  <c r="R184" i="80" s="1"/>
  <c r="Q185" i="80"/>
  <c r="Q184" i="80" s="1"/>
  <c r="P185" i="80"/>
  <c r="P184" i="80" s="1"/>
  <c r="O185" i="80"/>
  <c r="O184" i="80" s="1"/>
  <c r="N185" i="80"/>
  <c r="N184" i="80" s="1"/>
  <c r="M185" i="80"/>
  <c r="M184" i="80" s="1"/>
  <c r="L185" i="80"/>
  <c r="L184" i="80" s="1"/>
  <c r="K185" i="80"/>
  <c r="K184" i="80" s="1"/>
  <c r="J185" i="80"/>
  <c r="J184" i="80" s="1"/>
  <c r="I185" i="80"/>
  <c r="I184" i="80" s="1"/>
  <c r="H185" i="80"/>
  <c r="H184" i="80" s="1"/>
  <c r="G185" i="80"/>
  <c r="G184" i="80" s="1"/>
  <c r="V183" i="80"/>
  <c r="U183" i="80"/>
  <c r="V182" i="80"/>
  <c r="U182" i="80"/>
  <c r="T181" i="80"/>
  <c r="S181" i="80"/>
  <c r="R181" i="80"/>
  <c r="Q181" i="80"/>
  <c r="P181" i="80"/>
  <c r="O181" i="80"/>
  <c r="N181" i="80"/>
  <c r="M181" i="80"/>
  <c r="L181" i="80"/>
  <c r="K181" i="80"/>
  <c r="J181" i="80"/>
  <c r="I181" i="80"/>
  <c r="H181" i="80"/>
  <c r="G181" i="80"/>
  <c r="J180" i="80"/>
  <c r="V180" i="80" s="1"/>
  <c r="H180" i="80"/>
  <c r="V179" i="80"/>
  <c r="U179" i="80"/>
  <c r="T178" i="80"/>
  <c r="S178" i="80"/>
  <c r="R178" i="80"/>
  <c r="Q178" i="80"/>
  <c r="P178" i="80"/>
  <c r="O178" i="80"/>
  <c r="N178" i="80"/>
  <c r="M178" i="80"/>
  <c r="L178" i="80"/>
  <c r="K178" i="80"/>
  <c r="I178" i="80"/>
  <c r="G178" i="80"/>
  <c r="G177" i="80" s="1"/>
  <c r="V174" i="80"/>
  <c r="U174" i="80"/>
  <c r="T173" i="80"/>
  <c r="T172" i="80" s="1"/>
  <c r="T171" i="80" s="1"/>
  <c r="T170" i="80" s="1"/>
  <c r="S173" i="80"/>
  <c r="S172" i="80" s="1"/>
  <c r="S171" i="80" s="1"/>
  <c r="S170" i="80" s="1"/>
  <c r="R173" i="80"/>
  <c r="R172" i="80" s="1"/>
  <c r="R171" i="80" s="1"/>
  <c r="R170" i="80" s="1"/>
  <c r="Q173" i="80"/>
  <c r="Q172" i="80" s="1"/>
  <c r="Q171" i="80" s="1"/>
  <c r="Q170" i="80" s="1"/>
  <c r="P173" i="80"/>
  <c r="P172" i="80" s="1"/>
  <c r="P171" i="80" s="1"/>
  <c r="P170" i="80" s="1"/>
  <c r="O173" i="80"/>
  <c r="O172" i="80" s="1"/>
  <c r="O171" i="80" s="1"/>
  <c r="O170" i="80" s="1"/>
  <c r="N173" i="80"/>
  <c r="N172" i="80" s="1"/>
  <c r="N171" i="80" s="1"/>
  <c r="N170" i="80" s="1"/>
  <c r="M173" i="80"/>
  <c r="M172" i="80" s="1"/>
  <c r="M171" i="80" s="1"/>
  <c r="M170" i="80" s="1"/>
  <c r="L173" i="80"/>
  <c r="L172" i="80" s="1"/>
  <c r="K173" i="80"/>
  <c r="K172" i="80" s="1"/>
  <c r="K171" i="80" s="1"/>
  <c r="K170" i="80" s="1"/>
  <c r="J173" i="80"/>
  <c r="J172" i="80" s="1"/>
  <c r="J171" i="80" s="1"/>
  <c r="J170" i="80" s="1"/>
  <c r="I173" i="80"/>
  <c r="I172" i="80" s="1"/>
  <c r="I171" i="80" s="1"/>
  <c r="I170" i="80" s="1"/>
  <c r="H173" i="80"/>
  <c r="H172" i="80" s="1"/>
  <c r="H171" i="80" s="1"/>
  <c r="H170" i="80" s="1"/>
  <c r="G173" i="80"/>
  <c r="V169" i="80"/>
  <c r="U169" i="80"/>
  <c r="T168" i="80"/>
  <c r="T167" i="80" s="1"/>
  <c r="S168" i="80"/>
  <c r="S167" i="80" s="1"/>
  <c r="R168" i="80"/>
  <c r="R167" i="80" s="1"/>
  <c r="Q168" i="80"/>
  <c r="Q167" i="80" s="1"/>
  <c r="P168" i="80"/>
  <c r="P167" i="80" s="1"/>
  <c r="O168" i="80"/>
  <c r="O167" i="80" s="1"/>
  <c r="N168" i="80"/>
  <c r="N167" i="80" s="1"/>
  <c r="M168" i="80"/>
  <c r="M167" i="80" s="1"/>
  <c r="L168" i="80"/>
  <c r="L167" i="80" s="1"/>
  <c r="K168" i="80"/>
  <c r="K167" i="80" s="1"/>
  <c r="J168" i="80"/>
  <c r="J167" i="80" s="1"/>
  <c r="I168" i="80"/>
  <c r="I167" i="80" s="1"/>
  <c r="H168" i="80"/>
  <c r="H167" i="80" s="1"/>
  <c r="G168" i="80"/>
  <c r="G167" i="80" s="1"/>
  <c r="J166" i="80"/>
  <c r="H166" i="80"/>
  <c r="V165" i="80"/>
  <c r="U165" i="80"/>
  <c r="T164" i="80"/>
  <c r="T163" i="80" s="1"/>
  <c r="S164" i="80"/>
  <c r="S163" i="80" s="1"/>
  <c r="R164" i="80"/>
  <c r="R163" i="80" s="1"/>
  <c r="Q164" i="80"/>
  <c r="Q163" i="80" s="1"/>
  <c r="P164" i="80"/>
  <c r="P163" i="80" s="1"/>
  <c r="O164" i="80"/>
  <c r="O163" i="80" s="1"/>
  <c r="N164" i="80"/>
  <c r="N163" i="80" s="1"/>
  <c r="M164" i="80"/>
  <c r="M163" i="80" s="1"/>
  <c r="L164" i="80"/>
  <c r="K164" i="80"/>
  <c r="K163" i="80" s="1"/>
  <c r="I164" i="80"/>
  <c r="I163" i="80" s="1"/>
  <c r="G164" i="80"/>
  <c r="G163" i="80" s="1"/>
  <c r="V158" i="80"/>
  <c r="U158" i="80"/>
  <c r="T157" i="80"/>
  <c r="S157" i="80"/>
  <c r="R157" i="80"/>
  <c r="Q157" i="80"/>
  <c r="P157" i="80"/>
  <c r="O157" i="80"/>
  <c r="N157" i="80"/>
  <c r="M157" i="80"/>
  <c r="L157" i="80"/>
  <c r="K157" i="80"/>
  <c r="J157" i="80"/>
  <c r="I157" i="80"/>
  <c r="H157" i="80"/>
  <c r="G157" i="80"/>
  <c r="V156" i="80"/>
  <c r="U156" i="80"/>
  <c r="T155" i="80"/>
  <c r="T154" i="80" s="1"/>
  <c r="S155" i="80"/>
  <c r="S154" i="80" s="1"/>
  <c r="R155" i="80"/>
  <c r="Q155" i="80"/>
  <c r="P155" i="80"/>
  <c r="P154" i="80" s="1"/>
  <c r="O155" i="80"/>
  <c r="O154" i="80" s="1"/>
  <c r="N155" i="80"/>
  <c r="M155" i="80"/>
  <c r="M154" i="80" s="1"/>
  <c r="L155" i="80"/>
  <c r="K155" i="80"/>
  <c r="K154" i="80" s="1"/>
  <c r="J155" i="80"/>
  <c r="I155" i="80"/>
  <c r="I154" i="80" s="1"/>
  <c r="H155" i="80"/>
  <c r="H154" i="80" s="1"/>
  <c r="G155" i="80"/>
  <c r="G154" i="80" s="1"/>
  <c r="V153" i="80"/>
  <c r="U153" i="80"/>
  <c r="T152" i="80"/>
  <c r="T151" i="80" s="1"/>
  <c r="S152" i="80"/>
  <c r="S151" i="80" s="1"/>
  <c r="R152" i="80"/>
  <c r="R151" i="80" s="1"/>
  <c r="Q152" i="80"/>
  <c r="Q151" i="80" s="1"/>
  <c r="P152" i="80"/>
  <c r="P151" i="80" s="1"/>
  <c r="O152" i="80"/>
  <c r="O151" i="80" s="1"/>
  <c r="N152" i="80"/>
  <c r="M152" i="80"/>
  <c r="M151" i="80" s="1"/>
  <c r="L152" i="80"/>
  <c r="L151" i="80" s="1"/>
  <c r="K152" i="80"/>
  <c r="K151" i="80" s="1"/>
  <c r="J152" i="80"/>
  <c r="J151" i="80" s="1"/>
  <c r="I152" i="80"/>
  <c r="H152" i="80"/>
  <c r="H151" i="80" s="1"/>
  <c r="G152" i="80"/>
  <c r="G151" i="80" s="1"/>
  <c r="N151" i="80"/>
  <c r="I151" i="80"/>
  <c r="V150" i="80"/>
  <c r="U150" i="80"/>
  <c r="T149" i="80"/>
  <c r="S149" i="80"/>
  <c r="R149" i="80"/>
  <c r="Q149" i="80"/>
  <c r="P149" i="80"/>
  <c r="O149" i="80"/>
  <c r="N149" i="80"/>
  <c r="M149" i="80"/>
  <c r="L149" i="80"/>
  <c r="K149" i="80"/>
  <c r="J149" i="80"/>
  <c r="I149" i="80"/>
  <c r="H149" i="80"/>
  <c r="G149" i="80"/>
  <c r="V148" i="80"/>
  <c r="U148" i="80"/>
  <c r="T147" i="80"/>
  <c r="S147" i="80"/>
  <c r="R147" i="80"/>
  <c r="Q147" i="80"/>
  <c r="P147" i="80"/>
  <c r="O147" i="80"/>
  <c r="N147" i="80"/>
  <c r="M147" i="80"/>
  <c r="L147" i="80"/>
  <c r="K147" i="80"/>
  <c r="J147" i="80"/>
  <c r="I147" i="80"/>
  <c r="H147" i="80"/>
  <c r="G147" i="80"/>
  <c r="I144" i="80"/>
  <c r="V144" i="80" s="1"/>
  <c r="G144" i="80"/>
  <c r="U144" i="80" s="1"/>
  <c r="I143" i="80"/>
  <c r="V143" i="80" s="1"/>
  <c r="G143" i="80"/>
  <c r="T142" i="80"/>
  <c r="S142" i="80"/>
  <c r="S141" i="80" s="1"/>
  <c r="S140" i="80" s="1"/>
  <c r="S139" i="80" s="1"/>
  <c r="R142" i="80"/>
  <c r="R141" i="80" s="1"/>
  <c r="R140" i="80" s="1"/>
  <c r="R139" i="80" s="1"/>
  <c r="Q142" i="80"/>
  <c r="Q141" i="80" s="1"/>
  <c r="Q140" i="80" s="1"/>
  <c r="Q139" i="80" s="1"/>
  <c r="P142" i="80"/>
  <c r="P141" i="80" s="1"/>
  <c r="P140" i="80" s="1"/>
  <c r="P139" i="80" s="1"/>
  <c r="O142" i="80"/>
  <c r="O141" i="80" s="1"/>
  <c r="O140" i="80" s="1"/>
  <c r="O139" i="80" s="1"/>
  <c r="N142" i="80"/>
  <c r="N141" i="80" s="1"/>
  <c r="N140" i="80" s="1"/>
  <c r="N139" i="80" s="1"/>
  <c r="M142" i="80"/>
  <c r="M141" i="80" s="1"/>
  <c r="M140" i="80" s="1"/>
  <c r="M139" i="80" s="1"/>
  <c r="L142" i="80"/>
  <c r="L141" i="80" s="1"/>
  <c r="L140" i="80" s="1"/>
  <c r="L139" i="80" s="1"/>
  <c r="K142" i="80"/>
  <c r="K141" i="80" s="1"/>
  <c r="K140" i="80" s="1"/>
  <c r="K139" i="80" s="1"/>
  <c r="J142" i="80"/>
  <c r="J141" i="80" s="1"/>
  <c r="J140" i="80" s="1"/>
  <c r="J139" i="80" s="1"/>
  <c r="H142" i="80"/>
  <c r="H141" i="80" s="1"/>
  <c r="H140" i="80" s="1"/>
  <c r="H139" i="80" s="1"/>
  <c r="T141" i="80"/>
  <c r="T140" i="80" s="1"/>
  <c r="T139" i="80" s="1"/>
  <c r="V137" i="80"/>
  <c r="U137" i="80"/>
  <c r="T136" i="80"/>
  <c r="T135" i="80" s="1"/>
  <c r="S136" i="80"/>
  <c r="S135" i="80" s="1"/>
  <c r="R136" i="80"/>
  <c r="Q136" i="80"/>
  <c r="Q135" i="80" s="1"/>
  <c r="P136" i="80"/>
  <c r="P135" i="80" s="1"/>
  <c r="O136" i="80"/>
  <c r="O135" i="80" s="1"/>
  <c r="N136" i="80"/>
  <c r="N135" i="80" s="1"/>
  <c r="M136" i="80"/>
  <c r="M135" i="80" s="1"/>
  <c r="L136" i="80"/>
  <c r="K136" i="80"/>
  <c r="K135" i="80" s="1"/>
  <c r="J136" i="80"/>
  <c r="J135" i="80" s="1"/>
  <c r="I136" i="80"/>
  <c r="I135" i="80" s="1"/>
  <c r="H136" i="80"/>
  <c r="H135" i="80" s="1"/>
  <c r="G136" i="80"/>
  <c r="G135" i="80" s="1"/>
  <c r="R135" i="80"/>
  <c r="V134" i="80"/>
  <c r="U134" i="80"/>
  <c r="T133" i="80"/>
  <c r="S133" i="80"/>
  <c r="R133" i="80"/>
  <c r="Q133" i="80"/>
  <c r="P133" i="80"/>
  <c r="O133" i="80"/>
  <c r="N133" i="80"/>
  <c r="M133" i="80"/>
  <c r="L133" i="80"/>
  <c r="K133" i="80"/>
  <c r="J133" i="80"/>
  <c r="I133" i="80"/>
  <c r="H133" i="80"/>
  <c r="G133" i="80"/>
  <c r="V132" i="80"/>
  <c r="U132" i="80"/>
  <c r="T131" i="80"/>
  <c r="T130" i="80" s="1"/>
  <c r="S131" i="80"/>
  <c r="S130" i="80" s="1"/>
  <c r="R131" i="80"/>
  <c r="R130" i="80" s="1"/>
  <c r="Q131" i="80"/>
  <c r="Q130" i="80" s="1"/>
  <c r="P131" i="80"/>
  <c r="P130" i="80" s="1"/>
  <c r="O131" i="80"/>
  <c r="O130" i="80" s="1"/>
  <c r="N131" i="80"/>
  <c r="N130" i="80" s="1"/>
  <c r="M131" i="80"/>
  <c r="M130" i="80" s="1"/>
  <c r="L131" i="80"/>
  <c r="L130" i="80" s="1"/>
  <c r="K131" i="80"/>
  <c r="K130" i="80" s="1"/>
  <c r="J131" i="80"/>
  <c r="J130" i="80" s="1"/>
  <c r="I131" i="80"/>
  <c r="I130" i="80" s="1"/>
  <c r="H131" i="80"/>
  <c r="H130" i="80" s="1"/>
  <c r="G131" i="80"/>
  <c r="V129" i="80"/>
  <c r="H129" i="80"/>
  <c r="U129" i="80" s="1"/>
  <c r="V128" i="80"/>
  <c r="U128" i="80"/>
  <c r="T127" i="80"/>
  <c r="S127" i="80"/>
  <c r="R127" i="80"/>
  <c r="Q127" i="80"/>
  <c r="P127" i="80"/>
  <c r="O127" i="80"/>
  <c r="N127" i="80"/>
  <c r="M127" i="80"/>
  <c r="L127" i="80"/>
  <c r="K127" i="80"/>
  <c r="J127" i="80"/>
  <c r="I127" i="80"/>
  <c r="G127" i="80"/>
  <c r="V126" i="80"/>
  <c r="U126" i="80"/>
  <c r="V125" i="80"/>
  <c r="H125" i="80"/>
  <c r="V124" i="80"/>
  <c r="U124" i="80"/>
  <c r="T123" i="80"/>
  <c r="S123" i="80"/>
  <c r="R123" i="80"/>
  <c r="Q123" i="80"/>
  <c r="P123" i="80"/>
  <c r="O123" i="80"/>
  <c r="N123" i="80"/>
  <c r="M123" i="80"/>
  <c r="L123" i="80"/>
  <c r="K123" i="80"/>
  <c r="J123" i="80"/>
  <c r="I123" i="80"/>
  <c r="G123" i="80"/>
  <c r="V119" i="80"/>
  <c r="V755" i="80" s="1"/>
  <c r="U119" i="80"/>
  <c r="U755" i="80" s="1"/>
  <c r="T118" i="80"/>
  <c r="S118" i="80"/>
  <c r="R118" i="80"/>
  <c r="Q118" i="80"/>
  <c r="P118" i="80"/>
  <c r="O118" i="80"/>
  <c r="N118" i="80"/>
  <c r="M118" i="80"/>
  <c r="L118" i="80"/>
  <c r="K118" i="80"/>
  <c r="J118" i="80"/>
  <c r="I118" i="80"/>
  <c r="AA7" i="80" s="1"/>
  <c r="H118" i="80"/>
  <c r="G118" i="80"/>
  <c r="X7" i="80" s="1"/>
  <c r="V117" i="80"/>
  <c r="U117" i="80"/>
  <c r="T116" i="80"/>
  <c r="T115" i="80" s="1"/>
  <c r="T114" i="80" s="1"/>
  <c r="T113" i="80" s="1"/>
  <c r="S116" i="80"/>
  <c r="S115" i="80" s="1"/>
  <c r="S114" i="80" s="1"/>
  <c r="S113" i="80" s="1"/>
  <c r="R116" i="80"/>
  <c r="Q116" i="80"/>
  <c r="Q115" i="80" s="1"/>
  <c r="Q114" i="80" s="1"/>
  <c r="Q113" i="80" s="1"/>
  <c r="P116" i="80"/>
  <c r="P115" i="80" s="1"/>
  <c r="P114" i="80" s="1"/>
  <c r="P113" i="80" s="1"/>
  <c r="O116" i="80"/>
  <c r="O115" i="80" s="1"/>
  <c r="O114" i="80" s="1"/>
  <c r="O113" i="80" s="1"/>
  <c r="N116" i="80"/>
  <c r="N115" i="80" s="1"/>
  <c r="M116" i="80"/>
  <c r="M115" i="80" s="1"/>
  <c r="M114" i="80" s="1"/>
  <c r="M113" i="80" s="1"/>
  <c r="L116" i="80"/>
  <c r="K116" i="80"/>
  <c r="K115" i="80" s="1"/>
  <c r="K114" i="80" s="1"/>
  <c r="K113" i="80" s="1"/>
  <c r="J116" i="80"/>
  <c r="J115" i="80" s="1"/>
  <c r="I116" i="80"/>
  <c r="I115" i="80" s="1"/>
  <c r="I114" i="80" s="1"/>
  <c r="I113" i="80" s="1"/>
  <c r="H116" i="80"/>
  <c r="H115" i="80" s="1"/>
  <c r="H114" i="80" s="1"/>
  <c r="H113" i="80" s="1"/>
  <c r="G116" i="80"/>
  <c r="G115" i="80" s="1"/>
  <c r="R115" i="80"/>
  <c r="V112" i="80"/>
  <c r="U112" i="80"/>
  <c r="T111" i="80"/>
  <c r="T110" i="80" s="1"/>
  <c r="T109" i="80" s="1"/>
  <c r="S111" i="80"/>
  <c r="S110" i="80" s="1"/>
  <c r="S109" i="80" s="1"/>
  <c r="R111" i="80"/>
  <c r="Q111" i="80"/>
  <c r="Q110" i="80" s="1"/>
  <c r="Q109" i="80" s="1"/>
  <c r="P111" i="80"/>
  <c r="P110" i="80" s="1"/>
  <c r="P109" i="80" s="1"/>
  <c r="O111" i="80"/>
  <c r="O110" i="80" s="1"/>
  <c r="O109" i="80" s="1"/>
  <c r="N111" i="80"/>
  <c r="N110" i="80" s="1"/>
  <c r="M111" i="80"/>
  <c r="M110" i="80" s="1"/>
  <c r="M109" i="80" s="1"/>
  <c r="L111" i="80"/>
  <c r="L110" i="80" s="1"/>
  <c r="L109" i="80" s="1"/>
  <c r="K111" i="80"/>
  <c r="K110" i="80" s="1"/>
  <c r="K109" i="80" s="1"/>
  <c r="J111" i="80"/>
  <c r="J110" i="80" s="1"/>
  <c r="J109" i="80" s="1"/>
  <c r="I111" i="80"/>
  <c r="I110" i="80" s="1"/>
  <c r="I109" i="80" s="1"/>
  <c r="H111" i="80"/>
  <c r="H110" i="80" s="1"/>
  <c r="H109" i="80" s="1"/>
  <c r="G111" i="80"/>
  <c r="R110" i="80"/>
  <c r="R109" i="80" s="1"/>
  <c r="V108" i="80"/>
  <c r="U108" i="80"/>
  <c r="V107" i="80"/>
  <c r="U107" i="80"/>
  <c r="T106" i="80"/>
  <c r="S106" i="80"/>
  <c r="R106" i="80"/>
  <c r="Q106" i="80"/>
  <c r="P106" i="80"/>
  <c r="O106" i="80"/>
  <c r="N106" i="80"/>
  <c r="M106" i="80"/>
  <c r="L106" i="80"/>
  <c r="K106" i="80"/>
  <c r="J106" i="80"/>
  <c r="I106" i="80"/>
  <c r="H106" i="80"/>
  <c r="G106" i="80"/>
  <c r="V105" i="80"/>
  <c r="U105" i="80"/>
  <c r="T104" i="80"/>
  <c r="S104" i="80"/>
  <c r="R104" i="80"/>
  <c r="Q104" i="80"/>
  <c r="P104" i="80"/>
  <c r="O104" i="80"/>
  <c r="N104" i="80"/>
  <c r="M104" i="80"/>
  <c r="L104" i="80"/>
  <c r="K104" i="80"/>
  <c r="J104" i="80"/>
  <c r="I104" i="80"/>
  <c r="H104" i="80"/>
  <c r="G104" i="80"/>
  <c r="V103" i="80"/>
  <c r="U103" i="80"/>
  <c r="V102" i="80"/>
  <c r="U102" i="80"/>
  <c r="V101" i="80"/>
  <c r="U101" i="80"/>
  <c r="T100" i="80"/>
  <c r="S100" i="80"/>
  <c r="R100" i="80"/>
  <c r="Q100" i="80"/>
  <c r="P100" i="80"/>
  <c r="O100" i="80"/>
  <c r="N100" i="80"/>
  <c r="M100" i="80"/>
  <c r="L100" i="80"/>
  <c r="K100" i="80"/>
  <c r="J100" i="80"/>
  <c r="I100" i="80"/>
  <c r="H100" i="80"/>
  <c r="G100" i="80"/>
  <c r="V99" i="80"/>
  <c r="H99" i="80"/>
  <c r="U99" i="80" s="1"/>
  <c r="J98" i="80"/>
  <c r="V98" i="80" s="1"/>
  <c r="H98" i="80"/>
  <c r="U98" i="80" s="1"/>
  <c r="J97" i="80"/>
  <c r="V97" i="80" s="1"/>
  <c r="H97" i="80"/>
  <c r="U97" i="80" s="1"/>
  <c r="T96" i="80"/>
  <c r="S96" i="80"/>
  <c r="S95" i="80" s="1"/>
  <c r="R96" i="80"/>
  <c r="Q96" i="80"/>
  <c r="P96" i="80"/>
  <c r="O96" i="80"/>
  <c r="O95" i="80" s="1"/>
  <c r="N96" i="80"/>
  <c r="M96" i="80"/>
  <c r="L96" i="80"/>
  <c r="K96" i="80"/>
  <c r="K95" i="80" s="1"/>
  <c r="I96" i="80"/>
  <c r="G96" i="80"/>
  <c r="V92" i="80"/>
  <c r="U92" i="80"/>
  <c r="T91" i="80"/>
  <c r="T90" i="80" s="1"/>
  <c r="T89" i="80" s="1"/>
  <c r="S91" i="80"/>
  <c r="S90" i="80" s="1"/>
  <c r="S89" i="80" s="1"/>
  <c r="R91" i="80"/>
  <c r="R90" i="80" s="1"/>
  <c r="R89" i="80" s="1"/>
  <c r="Q91" i="80"/>
  <c r="Q90" i="80" s="1"/>
  <c r="Q89" i="80" s="1"/>
  <c r="P91" i="80"/>
  <c r="P90" i="80" s="1"/>
  <c r="P89" i="80" s="1"/>
  <c r="O91" i="80"/>
  <c r="O90" i="80" s="1"/>
  <c r="O89" i="80" s="1"/>
  <c r="N91" i="80"/>
  <c r="N90" i="80" s="1"/>
  <c r="M91" i="80"/>
  <c r="M90" i="80" s="1"/>
  <c r="M89" i="80" s="1"/>
  <c r="L91" i="80"/>
  <c r="L90" i="80" s="1"/>
  <c r="L89" i="80" s="1"/>
  <c r="K91" i="80"/>
  <c r="K90" i="80" s="1"/>
  <c r="K89" i="80" s="1"/>
  <c r="J91" i="80"/>
  <c r="J90" i="80" s="1"/>
  <c r="J89" i="80" s="1"/>
  <c r="I91" i="80"/>
  <c r="H91" i="80"/>
  <c r="H90" i="80" s="1"/>
  <c r="H89" i="80" s="1"/>
  <c r="G91" i="80"/>
  <c r="G90" i="80" s="1"/>
  <c r="G89" i="80" s="1"/>
  <c r="N89" i="80"/>
  <c r="V88" i="80"/>
  <c r="V756" i="80" s="1"/>
  <c r="U88" i="80"/>
  <c r="U756" i="80" s="1"/>
  <c r="T87" i="80"/>
  <c r="S87" i="80"/>
  <c r="R87" i="80"/>
  <c r="Q87" i="80"/>
  <c r="P87" i="80"/>
  <c r="O87" i="80"/>
  <c r="N87" i="80"/>
  <c r="M87" i="80"/>
  <c r="L87" i="80"/>
  <c r="K87" i="80"/>
  <c r="J87" i="80"/>
  <c r="I87" i="80"/>
  <c r="H87" i="80"/>
  <c r="G87" i="80"/>
  <c r="I86" i="80"/>
  <c r="V86" i="80" s="1"/>
  <c r="G86" i="80"/>
  <c r="T85" i="80"/>
  <c r="S85" i="80"/>
  <c r="R85" i="80"/>
  <c r="Q85" i="80"/>
  <c r="P85" i="80"/>
  <c r="O85" i="80"/>
  <c r="N85" i="80"/>
  <c r="M85" i="80"/>
  <c r="L85" i="80"/>
  <c r="K85" i="80"/>
  <c r="J85" i="80"/>
  <c r="H85" i="80"/>
  <c r="V84" i="80"/>
  <c r="U84" i="80"/>
  <c r="T83" i="80"/>
  <c r="T82" i="80" s="1"/>
  <c r="S83" i="80"/>
  <c r="S82" i="80" s="1"/>
  <c r="R83" i="80"/>
  <c r="R82" i="80" s="1"/>
  <c r="Q83" i="80"/>
  <c r="Q82" i="80" s="1"/>
  <c r="P83" i="80"/>
  <c r="P82" i="80" s="1"/>
  <c r="O83" i="80"/>
  <c r="O82" i="80" s="1"/>
  <c r="N83" i="80"/>
  <c r="N82" i="80" s="1"/>
  <c r="M83" i="80"/>
  <c r="M82" i="80" s="1"/>
  <c r="L83" i="80"/>
  <c r="L82" i="80" s="1"/>
  <c r="K83" i="80"/>
  <c r="K82" i="80" s="1"/>
  <c r="J83" i="80"/>
  <c r="J82" i="80" s="1"/>
  <c r="I83" i="80"/>
  <c r="I82" i="80" s="1"/>
  <c r="H83" i="80"/>
  <c r="H82" i="80" s="1"/>
  <c r="G83" i="80"/>
  <c r="G82" i="80" s="1"/>
  <c r="V81" i="80"/>
  <c r="U81" i="80"/>
  <c r="T80" i="80"/>
  <c r="S80" i="80"/>
  <c r="R80" i="80"/>
  <c r="Q80" i="80"/>
  <c r="P80" i="80"/>
  <c r="O80" i="80"/>
  <c r="N80" i="80"/>
  <c r="M80" i="80"/>
  <c r="L80" i="80"/>
  <c r="K80" i="80"/>
  <c r="J80" i="80"/>
  <c r="I80" i="80"/>
  <c r="H80" i="80"/>
  <c r="G80" i="80"/>
  <c r="I79" i="80"/>
  <c r="G79" i="80"/>
  <c r="U79" i="80" s="1"/>
  <c r="T78" i="80"/>
  <c r="T77" i="80" s="1"/>
  <c r="S78" i="80"/>
  <c r="S77" i="80" s="1"/>
  <c r="R78" i="80"/>
  <c r="R77" i="80" s="1"/>
  <c r="Q78" i="80"/>
  <c r="Q77" i="80" s="1"/>
  <c r="P78" i="80"/>
  <c r="P77" i="80" s="1"/>
  <c r="O78" i="80"/>
  <c r="O77" i="80" s="1"/>
  <c r="N78" i="80"/>
  <c r="N77" i="80" s="1"/>
  <c r="M78" i="80"/>
  <c r="M77" i="80" s="1"/>
  <c r="L78" i="80"/>
  <c r="L77" i="80" s="1"/>
  <c r="K78" i="80"/>
  <c r="K77" i="80" s="1"/>
  <c r="J78" i="80"/>
  <c r="J77" i="80" s="1"/>
  <c r="H78" i="80"/>
  <c r="H77" i="80" s="1"/>
  <c r="V76" i="80"/>
  <c r="U76" i="80"/>
  <c r="T75" i="80"/>
  <c r="S75" i="80"/>
  <c r="R75" i="80"/>
  <c r="Q75" i="80"/>
  <c r="P75" i="80"/>
  <c r="O75" i="80"/>
  <c r="N75" i="80"/>
  <c r="M75" i="80"/>
  <c r="L75" i="80"/>
  <c r="K75" i="80"/>
  <c r="J75" i="80"/>
  <c r="I75" i="80"/>
  <c r="H75" i="80"/>
  <c r="G75" i="80"/>
  <c r="V74" i="80"/>
  <c r="U74" i="80"/>
  <c r="T73" i="80"/>
  <c r="S73" i="80"/>
  <c r="R73" i="80"/>
  <c r="Q73" i="80"/>
  <c r="P73" i="80"/>
  <c r="O73" i="80"/>
  <c r="N73" i="80"/>
  <c r="M73" i="80"/>
  <c r="L73" i="80"/>
  <c r="K73" i="80"/>
  <c r="J73" i="80"/>
  <c r="J72" i="80" s="1"/>
  <c r="I73" i="80"/>
  <c r="I72" i="80" s="1"/>
  <c r="H73" i="80"/>
  <c r="G73" i="80"/>
  <c r="R72" i="80"/>
  <c r="Q72" i="80"/>
  <c r="V71" i="80"/>
  <c r="U71" i="80"/>
  <c r="T70" i="80"/>
  <c r="S70" i="80"/>
  <c r="R70" i="80"/>
  <c r="Q70" i="80"/>
  <c r="P70" i="80"/>
  <c r="O70" i="80"/>
  <c r="N70" i="80"/>
  <c r="M70" i="80"/>
  <c r="L70" i="80"/>
  <c r="K70" i="80"/>
  <c r="J70" i="80"/>
  <c r="I70" i="80"/>
  <c r="H70" i="80"/>
  <c r="G70" i="80"/>
  <c r="V69" i="80"/>
  <c r="U69" i="80"/>
  <c r="T68" i="80"/>
  <c r="S68" i="80"/>
  <c r="R68" i="80"/>
  <c r="Q68" i="80"/>
  <c r="P68" i="80"/>
  <c r="O68" i="80"/>
  <c r="N68" i="80"/>
  <c r="N67" i="80" s="1"/>
  <c r="M68" i="80"/>
  <c r="M67" i="80" s="1"/>
  <c r="L68" i="80"/>
  <c r="K68" i="80"/>
  <c r="J68" i="80"/>
  <c r="J67" i="80" s="1"/>
  <c r="I68" i="80"/>
  <c r="I67" i="80" s="1"/>
  <c r="H68" i="80"/>
  <c r="G68" i="80"/>
  <c r="R67" i="80"/>
  <c r="Q67" i="80"/>
  <c r="V65" i="80"/>
  <c r="U65" i="80"/>
  <c r="T64" i="80"/>
  <c r="S64" i="80"/>
  <c r="R64" i="80"/>
  <c r="Q64" i="80"/>
  <c r="P64" i="80"/>
  <c r="O64" i="80"/>
  <c r="N64" i="80"/>
  <c r="M64" i="80"/>
  <c r="L64" i="80"/>
  <c r="K64" i="80"/>
  <c r="J64" i="80"/>
  <c r="I64" i="80"/>
  <c r="H64" i="80"/>
  <c r="G64" i="80"/>
  <c r="V63" i="80"/>
  <c r="U63" i="80"/>
  <c r="V62" i="80"/>
  <c r="U62" i="80"/>
  <c r="V61" i="80"/>
  <c r="U61" i="80"/>
  <c r="T60" i="80"/>
  <c r="S60" i="80"/>
  <c r="R60" i="80"/>
  <c r="Q60" i="80"/>
  <c r="P60" i="80"/>
  <c r="O60" i="80"/>
  <c r="N60" i="80"/>
  <c r="N59" i="80" s="1"/>
  <c r="M60" i="80"/>
  <c r="M59" i="80" s="1"/>
  <c r="L60" i="80"/>
  <c r="K60" i="80"/>
  <c r="J60" i="80"/>
  <c r="J59" i="80" s="1"/>
  <c r="I60" i="80"/>
  <c r="I59" i="80" s="1"/>
  <c r="H60" i="80"/>
  <c r="G60" i="80"/>
  <c r="R59" i="80"/>
  <c r="Q59" i="80"/>
  <c r="V58" i="80"/>
  <c r="U58" i="80"/>
  <c r="T57" i="80"/>
  <c r="T56" i="80" s="1"/>
  <c r="S57" i="80"/>
  <c r="S56" i="80" s="1"/>
  <c r="R57" i="80"/>
  <c r="R56" i="80" s="1"/>
  <c r="Q57" i="80"/>
  <c r="Q56" i="80" s="1"/>
  <c r="P57" i="80"/>
  <c r="P56" i="80" s="1"/>
  <c r="O57" i="80"/>
  <c r="O56" i="80" s="1"/>
  <c r="N57" i="80"/>
  <c r="N56" i="80" s="1"/>
  <c r="M57" i="80"/>
  <c r="M56" i="80" s="1"/>
  <c r="L57" i="80"/>
  <c r="L56" i="80" s="1"/>
  <c r="K57" i="80"/>
  <c r="K56" i="80" s="1"/>
  <c r="J57" i="80"/>
  <c r="J56" i="80" s="1"/>
  <c r="I57" i="80"/>
  <c r="H57" i="80"/>
  <c r="H56" i="80" s="1"/>
  <c r="G57" i="80"/>
  <c r="G56" i="80" s="1"/>
  <c r="V55" i="80"/>
  <c r="U55" i="80"/>
  <c r="J54" i="80"/>
  <c r="V54" i="80" s="1"/>
  <c r="H54" i="80"/>
  <c r="V53" i="80"/>
  <c r="U53" i="80"/>
  <c r="T52" i="80"/>
  <c r="S52" i="80"/>
  <c r="R52" i="80"/>
  <c r="Q52" i="80"/>
  <c r="P52" i="80"/>
  <c r="O52" i="80"/>
  <c r="N52" i="80"/>
  <c r="M52" i="80"/>
  <c r="L52" i="80"/>
  <c r="K52" i="80"/>
  <c r="I52" i="80"/>
  <c r="G52" i="80"/>
  <c r="J51" i="80"/>
  <c r="V51" i="80" s="1"/>
  <c r="H51" i="80"/>
  <c r="U51" i="80" s="1"/>
  <c r="J50" i="80"/>
  <c r="V50" i="80" s="1"/>
  <c r="H50" i="80"/>
  <c r="U50" i="80" s="1"/>
  <c r="J49" i="80"/>
  <c r="V49" i="80" s="1"/>
  <c r="H49" i="80"/>
  <c r="U49" i="80" s="1"/>
  <c r="T48" i="80"/>
  <c r="S48" i="80"/>
  <c r="R48" i="80"/>
  <c r="Q48" i="80"/>
  <c r="P48" i="80"/>
  <c r="O48" i="80"/>
  <c r="N48" i="80"/>
  <c r="M48" i="80"/>
  <c r="L48" i="80"/>
  <c r="K48" i="80"/>
  <c r="I48" i="80"/>
  <c r="G48" i="80"/>
  <c r="V44" i="80"/>
  <c r="U44" i="80"/>
  <c r="V43" i="80"/>
  <c r="U43" i="80"/>
  <c r="V42" i="80"/>
  <c r="U42" i="80"/>
  <c r="T41" i="80"/>
  <c r="T40" i="80" s="1"/>
  <c r="S41" i="80"/>
  <c r="S40" i="80" s="1"/>
  <c r="R41" i="80"/>
  <c r="R40" i="80" s="1"/>
  <c r="Q41" i="80"/>
  <c r="Q40" i="80" s="1"/>
  <c r="P41" i="80"/>
  <c r="P40" i="80" s="1"/>
  <c r="O41" i="80"/>
  <c r="O40" i="80" s="1"/>
  <c r="N41" i="80"/>
  <c r="N40" i="80" s="1"/>
  <c r="M41" i="80"/>
  <c r="M40" i="80" s="1"/>
  <c r="L41" i="80"/>
  <c r="L40" i="80" s="1"/>
  <c r="K41" i="80"/>
  <c r="K40" i="80" s="1"/>
  <c r="J41" i="80"/>
  <c r="J40" i="80" s="1"/>
  <c r="I41" i="80"/>
  <c r="H41" i="80"/>
  <c r="H40" i="80" s="1"/>
  <c r="G41" i="80"/>
  <c r="G40" i="80" s="1"/>
  <c r="V39" i="80"/>
  <c r="U39" i="80"/>
  <c r="T38" i="80"/>
  <c r="S38" i="80"/>
  <c r="R38" i="80"/>
  <c r="Q38" i="80"/>
  <c r="P38" i="80"/>
  <c r="O38" i="80"/>
  <c r="N38" i="80"/>
  <c r="M38" i="80"/>
  <c r="L38" i="80"/>
  <c r="K38" i="80"/>
  <c r="J38" i="80"/>
  <c r="I38" i="80"/>
  <c r="H38" i="80"/>
  <c r="G38" i="80"/>
  <c r="V37" i="80"/>
  <c r="U37" i="80"/>
  <c r="V36" i="80"/>
  <c r="U36" i="80"/>
  <c r="V35" i="80"/>
  <c r="U35" i="80"/>
  <c r="T34" i="80"/>
  <c r="S34" i="80"/>
  <c r="R34" i="80"/>
  <c r="Q34" i="80"/>
  <c r="P34" i="80"/>
  <c r="O34" i="80"/>
  <c r="N34" i="80"/>
  <c r="M34" i="80"/>
  <c r="L34" i="80"/>
  <c r="K34" i="80"/>
  <c r="J34" i="80"/>
  <c r="I34" i="80"/>
  <c r="H34" i="80"/>
  <c r="G34" i="80"/>
  <c r="J33" i="80"/>
  <c r="V33" i="80" s="1"/>
  <c r="H33" i="80"/>
  <c r="U33" i="80" s="1"/>
  <c r="J32" i="80"/>
  <c r="H32" i="80"/>
  <c r="U32" i="80" s="1"/>
  <c r="J31" i="80"/>
  <c r="V31" i="80" s="1"/>
  <c r="H31" i="80"/>
  <c r="U31" i="80" s="1"/>
  <c r="T30" i="80"/>
  <c r="S30" i="80"/>
  <c r="R30" i="80"/>
  <c r="Q30" i="80"/>
  <c r="P30" i="80"/>
  <c r="O30" i="80"/>
  <c r="O29" i="80" s="1"/>
  <c r="O28" i="80" s="1"/>
  <c r="O27" i="80" s="1"/>
  <c r="N30" i="80"/>
  <c r="M30" i="80"/>
  <c r="M29" i="80" s="1"/>
  <c r="L30" i="80"/>
  <c r="K30" i="80"/>
  <c r="I30" i="80"/>
  <c r="G30" i="80"/>
  <c r="V25" i="80"/>
  <c r="U25" i="80"/>
  <c r="T24" i="80"/>
  <c r="T23" i="80" s="1"/>
  <c r="T22" i="80" s="1"/>
  <c r="T21" i="80" s="1"/>
  <c r="S24" i="80"/>
  <c r="S23" i="80" s="1"/>
  <c r="S22" i="80" s="1"/>
  <c r="S21" i="80" s="1"/>
  <c r="R24" i="80"/>
  <c r="R23" i="80" s="1"/>
  <c r="R22" i="80" s="1"/>
  <c r="R21" i="80" s="1"/>
  <c r="Q24" i="80"/>
  <c r="Q23" i="80" s="1"/>
  <c r="Q22" i="80" s="1"/>
  <c r="Q21" i="80" s="1"/>
  <c r="P24" i="80"/>
  <c r="P23" i="80" s="1"/>
  <c r="P22" i="80" s="1"/>
  <c r="P21" i="80" s="1"/>
  <c r="O24" i="80"/>
  <c r="O23" i="80" s="1"/>
  <c r="O22" i="80" s="1"/>
  <c r="O21" i="80" s="1"/>
  <c r="N24" i="80"/>
  <c r="M24" i="80"/>
  <c r="M23" i="80" s="1"/>
  <c r="M22" i="80" s="1"/>
  <c r="M21" i="80" s="1"/>
  <c r="L24" i="80"/>
  <c r="L23" i="80" s="1"/>
  <c r="K24" i="80"/>
  <c r="K23" i="80" s="1"/>
  <c r="J24" i="80"/>
  <c r="J23" i="80" s="1"/>
  <c r="J22" i="80" s="1"/>
  <c r="J21" i="80" s="1"/>
  <c r="H24" i="80"/>
  <c r="H23" i="80" s="1"/>
  <c r="H22" i="80" s="1"/>
  <c r="H21" i="80" s="1"/>
  <c r="G24" i="80"/>
  <c r="G23" i="80" s="1"/>
  <c r="G22" i="80" s="1"/>
  <c r="G21" i="80" s="1"/>
  <c r="I23" i="80"/>
  <c r="I22" i="80" s="1"/>
  <c r="I21" i="80" s="1"/>
  <c r="V20" i="80"/>
  <c r="U20" i="80"/>
  <c r="V19" i="80"/>
  <c r="U19" i="80"/>
  <c r="T18" i="80"/>
  <c r="T17" i="80" s="1"/>
  <c r="T16" i="80" s="1"/>
  <c r="T15" i="80" s="1"/>
  <c r="T14" i="80" s="1"/>
  <c r="S18" i="80"/>
  <c r="S17" i="80" s="1"/>
  <c r="S16" i="80" s="1"/>
  <c r="S15" i="80" s="1"/>
  <c r="S14" i="80" s="1"/>
  <c r="R18" i="80"/>
  <c r="R17" i="80" s="1"/>
  <c r="R16" i="80" s="1"/>
  <c r="R15" i="80" s="1"/>
  <c r="R14" i="80" s="1"/>
  <c r="Q18" i="80"/>
  <c r="Q17" i="80" s="1"/>
  <c r="Q16" i="80" s="1"/>
  <c r="Q15" i="80" s="1"/>
  <c r="Q14" i="80" s="1"/>
  <c r="P18" i="80"/>
  <c r="P17" i="80" s="1"/>
  <c r="P16" i="80" s="1"/>
  <c r="P15" i="80" s="1"/>
  <c r="P14" i="80" s="1"/>
  <c r="O18" i="80"/>
  <c r="O17" i="80" s="1"/>
  <c r="O16" i="80" s="1"/>
  <c r="O15" i="80" s="1"/>
  <c r="O14" i="80" s="1"/>
  <c r="N18" i="80"/>
  <c r="N17" i="80" s="1"/>
  <c r="N16" i="80" s="1"/>
  <c r="N15" i="80" s="1"/>
  <c r="N14" i="80" s="1"/>
  <c r="M18" i="80"/>
  <c r="L18" i="80"/>
  <c r="L17" i="80" s="1"/>
  <c r="L16" i="80" s="1"/>
  <c r="K18" i="80"/>
  <c r="K17" i="80" s="1"/>
  <c r="K16" i="80" s="1"/>
  <c r="K15" i="80" s="1"/>
  <c r="K14" i="80" s="1"/>
  <c r="J18" i="80"/>
  <c r="J17" i="80" s="1"/>
  <c r="J16" i="80" s="1"/>
  <c r="J15" i="80" s="1"/>
  <c r="J14" i="80" s="1"/>
  <c r="I18" i="80"/>
  <c r="I17" i="80" s="1"/>
  <c r="I16" i="80" s="1"/>
  <c r="I15" i="80" s="1"/>
  <c r="I14" i="80" s="1"/>
  <c r="H18" i="80"/>
  <c r="H17" i="80" s="1"/>
  <c r="H16" i="80" s="1"/>
  <c r="H15" i="80" s="1"/>
  <c r="H14" i="80" s="1"/>
  <c r="G18" i="80"/>
  <c r="G17" i="80" s="1"/>
  <c r="G16" i="80" s="1"/>
  <c r="G15" i="80" s="1"/>
  <c r="G14" i="80" s="1"/>
  <c r="AA12" i="80"/>
  <c r="X12" i="80"/>
  <c r="AA11" i="80"/>
  <c r="X11" i="80"/>
  <c r="AA10" i="80"/>
  <c r="X10" i="80"/>
  <c r="AA9" i="80"/>
  <c r="X9" i="80"/>
  <c r="AA8" i="80"/>
  <c r="X8" i="80"/>
  <c r="AA4" i="80"/>
  <c r="X4" i="80"/>
  <c r="N72" i="80" l="1"/>
  <c r="P710" i="80"/>
  <c r="P709" i="80" s="1"/>
  <c r="P708" i="80" s="1"/>
  <c r="G735" i="80"/>
  <c r="G734" i="80" s="1"/>
  <c r="G684" i="80"/>
  <c r="G683" i="80" s="1"/>
  <c r="U683" i="80" s="1"/>
  <c r="R648" i="80"/>
  <c r="R647" i="80" s="1"/>
  <c r="M691" i="80"/>
  <c r="M690" i="80" s="1"/>
  <c r="M689" i="80" s="1"/>
  <c r="M710" i="80"/>
  <c r="M709" i="80" s="1"/>
  <c r="M708" i="80" s="1"/>
  <c r="Q710" i="80"/>
  <c r="Q709" i="80" s="1"/>
  <c r="Q708" i="80" s="1"/>
  <c r="L460" i="80"/>
  <c r="K710" i="80"/>
  <c r="K709" i="80" s="1"/>
  <c r="K708" i="80" s="1"/>
  <c r="O710" i="80"/>
  <c r="O709" i="80" s="1"/>
  <c r="O708" i="80" s="1"/>
  <c r="S710" i="80"/>
  <c r="S709" i="80" s="1"/>
  <c r="S708" i="80" s="1"/>
  <c r="J648" i="80"/>
  <c r="J647" i="80" s="1"/>
  <c r="N648" i="80"/>
  <c r="N647" i="80" s="1"/>
  <c r="N691" i="80"/>
  <c r="N690" i="80" s="1"/>
  <c r="N689" i="80" s="1"/>
  <c r="P47" i="80"/>
  <c r="R594" i="80"/>
  <c r="R593" i="80" s="1"/>
  <c r="L710" i="80"/>
  <c r="L709" i="80" s="1"/>
  <c r="L708" i="80" s="1"/>
  <c r="N710" i="80"/>
  <c r="N709" i="80" s="1"/>
  <c r="N708" i="80" s="1"/>
  <c r="R710" i="80"/>
  <c r="R709" i="80" s="1"/>
  <c r="R708" i="80" s="1"/>
  <c r="T710" i="80"/>
  <c r="T709" i="80" s="1"/>
  <c r="T708" i="80" s="1"/>
  <c r="K721" i="80"/>
  <c r="K720" i="80" s="1"/>
  <c r="AA2" i="80"/>
  <c r="G47" i="80"/>
  <c r="G78" i="80"/>
  <c r="G77" i="80" s="1"/>
  <c r="J194" i="80"/>
  <c r="H454" i="80"/>
  <c r="H453" i="80" s="1"/>
  <c r="H452" i="80" s="1"/>
  <c r="H451" i="80" s="1"/>
  <c r="J594" i="80"/>
  <c r="J593" i="80" s="1"/>
  <c r="J584" i="80" s="1"/>
  <c r="N594" i="80"/>
  <c r="N593" i="80" s="1"/>
  <c r="T721" i="80"/>
  <c r="T720" i="80" s="1"/>
  <c r="N506" i="80"/>
  <c r="N502" i="80" s="1"/>
  <c r="R506" i="80"/>
  <c r="R502" i="80" s="1"/>
  <c r="H713" i="80"/>
  <c r="H710" i="80" s="1"/>
  <c r="H709" i="80" s="1"/>
  <c r="H708" i="80" s="1"/>
  <c r="H736" i="80"/>
  <c r="H735" i="80" s="1"/>
  <c r="H734" i="80" s="1"/>
  <c r="H733" i="80" s="1"/>
  <c r="Q735" i="80"/>
  <c r="Q734" i="80" s="1"/>
  <c r="Q733" i="80" s="1"/>
  <c r="Q732" i="80" s="1"/>
  <c r="Q731" i="80" s="1"/>
  <c r="J52" i="80"/>
  <c r="V52" i="80" s="1"/>
  <c r="S367" i="80"/>
  <c r="Q380" i="80"/>
  <c r="Q385" i="80"/>
  <c r="Q377" i="80" s="1"/>
  <c r="K494" i="80"/>
  <c r="K481" i="80" s="1"/>
  <c r="K480" i="80" s="1"/>
  <c r="O648" i="80"/>
  <c r="O647" i="80" s="1"/>
  <c r="K691" i="80"/>
  <c r="K690" i="80" s="1"/>
  <c r="K689" i="80" s="1"/>
  <c r="K688" i="80" s="1"/>
  <c r="O691" i="80"/>
  <c r="O690" i="80" s="1"/>
  <c r="O689" i="80" s="1"/>
  <c r="S691" i="80"/>
  <c r="S690" i="80" s="1"/>
  <c r="S689" i="80" s="1"/>
  <c r="I710" i="80"/>
  <c r="I709" i="80" s="1"/>
  <c r="I708" i="80" s="1"/>
  <c r="N735" i="80"/>
  <c r="N734" i="80" s="1"/>
  <c r="N733" i="80" s="1"/>
  <c r="R735" i="80"/>
  <c r="R734" i="80" s="1"/>
  <c r="R733" i="80" s="1"/>
  <c r="R732" i="80" s="1"/>
  <c r="R731" i="80" s="1"/>
  <c r="P122" i="80"/>
  <c r="P121" i="80" s="1"/>
  <c r="P120" i="80" s="1"/>
  <c r="H226" i="80"/>
  <c r="H225" i="80" s="1"/>
  <c r="H224" i="80" s="1"/>
  <c r="H223" i="80" s="1"/>
  <c r="H338" i="80"/>
  <c r="L338" i="80"/>
  <c r="L332" i="80" s="1"/>
  <c r="P338" i="80"/>
  <c r="P332" i="80" s="1"/>
  <c r="P326" i="80" s="1"/>
  <c r="T338" i="80"/>
  <c r="U439" i="80"/>
  <c r="U443" i="80"/>
  <c r="I657" i="80"/>
  <c r="Q657" i="80"/>
  <c r="U693" i="80"/>
  <c r="X2" i="80"/>
  <c r="P162" i="80"/>
  <c r="P161" i="80" s="1"/>
  <c r="T162" i="80"/>
  <c r="T161" i="80" s="1"/>
  <c r="K177" i="80"/>
  <c r="K176" i="80" s="1"/>
  <c r="K175" i="80" s="1"/>
  <c r="O177" i="80"/>
  <c r="O176" i="80" s="1"/>
  <c r="O175" i="80" s="1"/>
  <c r="S177" i="80"/>
  <c r="S176" i="80" s="1"/>
  <c r="S175" i="80" s="1"/>
  <c r="Q322" i="80"/>
  <c r="Q321" i="80" s="1"/>
  <c r="H691" i="80"/>
  <c r="H690" i="80" s="1"/>
  <c r="H689" i="80" s="1"/>
  <c r="L691" i="80"/>
  <c r="L690" i="80" s="1"/>
  <c r="L689" i="80" s="1"/>
  <c r="L688" i="80" s="1"/>
  <c r="P691" i="80"/>
  <c r="P690" i="80" s="1"/>
  <c r="P689" i="80" s="1"/>
  <c r="P688" i="80" s="1"/>
  <c r="T691" i="80"/>
  <c r="T690" i="80" s="1"/>
  <c r="T689" i="80" s="1"/>
  <c r="U252" i="80"/>
  <c r="G323" i="80"/>
  <c r="U526" i="80"/>
  <c r="U530" i="80"/>
  <c r="U534" i="80"/>
  <c r="Q594" i="80"/>
  <c r="Q593" i="80" s="1"/>
  <c r="Q584" i="80" s="1"/>
  <c r="G619" i="80"/>
  <c r="V685" i="80"/>
  <c r="L47" i="80"/>
  <c r="I85" i="80"/>
  <c r="J96" i="80"/>
  <c r="J95" i="80" s="1"/>
  <c r="J94" i="80" s="1"/>
  <c r="J93" i="80" s="1"/>
  <c r="J122" i="80"/>
  <c r="J121" i="80" s="1"/>
  <c r="J120" i="80" s="1"/>
  <c r="R122" i="80"/>
  <c r="R121" i="80" s="1"/>
  <c r="R120" i="80" s="1"/>
  <c r="H506" i="80"/>
  <c r="H502" i="80" s="1"/>
  <c r="P506" i="80"/>
  <c r="P502" i="80" s="1"/>
  <c r="K619" i="80"/>
  <c r="S619" i="80"/>
  <c r="S610" i="80" s="1"/>
  <c r="S609" i="80" s="1"/>
  <c r="S608" i="80" s="1"/>
  <c r="S607" i="80" s="1"/>
  <c r="G648" i="80"/>
  <c r="G647" i="80" s="1"/>
  <c r="G644" i="80" s="1"/>
  <c r="G643" i="80" s="1"/>
  <c r="U701" i="80"/>
  <c r="L735" i="80"/>
  <c r="L734" i="80" s="1"/>
  <c r="L733" i="80" s="1"/>
  <c r="P735" i="80"/>
  <c r="P734" i="80" s="1"/>
  <c r="P733" i="80" s="1"/>
  <c r="P732" i="80" s="1"/>
  <c r="P731" i="80" s="1"/>
  <c r="T735" i="80"/>
  <c r="T734" i="80" s="1"/>
  <c r="T733" i="80" s="1"/>
  <c r="T732" i="80" s="1"/>
  <c r="T731" i="80" s="1"/>
  <c r="U86" i="80"/>
  <c r="X3" i="80"/>
  <c r="I29" i="80"/>
  <c r="J164" i="80"/>
  <c r="J163" i="80" s="1"/>
  <c r="J162" i="80" s="1"/>
  <c r="J161" i="80" s="1"/>
  <c r="V166" i="80"/>
  <c r="H178" i="80"/>
  <c r="U178" i="80" s="1"/>
  <c r="U180" i="80"/>
  <c r="Q619" i="80"/>
  <c r="Q610" i="80" s="1"/>
  <c r="Q609" i="80" s="1"/>
  <c r="Q608" i="80" s="1"/>
  <c r="Q607" i="80" s="1"/>
  <c r="H52" i="80"/>
  <c r="U54" i="80"/>
  <c r="I619" i="80"/>
  <c r="V636" i="80"/>
  <c r="AA3" i="80"/>
  <c r="V32" i="80"/>
  <c r="J30" i="80"/>
  <c r="J29" i="80" s="1"/>
  <c r="J28" i="80" s="1"/>
  <c r="J27" i="80" s="1"/>
  <c r="I78" i="80"/>
  <c r="I77" i="80" s="1"/>
  <c r="I66" i="80" s="1"/>
  <c r="V79" i="80"/>
  <c r="Q154" i="80"/>
  <c r="Q146" i="80" s="1"/>
  <c r="Q145" i="80" s="1"/>
  <c r="Q138" i="80" s="1"/>
  <c r="J323" i="80"/>
  <c r="J322" i="80"/>
  <c r="J321" i="80" s="1"/>
  <c r="H392" i="80"/>
  <c r="U392" i="80" s="1"/>
  <c r="U394" i="80"/>
  <c r="R619" i="80"/>
  <c r="M619" i="80"/>
  <c r="M610" i="80" s="1"/>
  <c r="M609" i="80" s="1"/>
  <c r="M608" i="80" s="1"/>
  <c r="M607" i="80" s="1"/>
  <c r="J178" i="80"/>
  <c r="J177" i="80" s="1"/>
  <c r="J176" i="80" s="1"/>
  <c r="J175" i="80" s="1"/>
  <c r="I230" i="80"/>
  <c r="I229" i="80" s="1"/>
  <c r="Q230" i="80"/>
  <c r="Q229" i="80" s="1"/>
  <c r="M307" i="80"/>
  <c r="M306" i="80" s="1"/>
  <c r="H388" i="80"/>
  <c r="U388" i="80" s="1"/>
  <c r="J392" i="80"/>
  <c r="V392" i="80" s="1"/>
  <c r="U515" i="80"/>
  <c r="T555" i="80"/>
  <c r="H648" i="80"/>
  <c r="H647" i="80" s="1"/>
  <c r="H644" i="80" s="1"/>
  <c r="H643" i="80" s="1"/>
  <c r="L648" i="80"/>
  <c r="L647" i="80" s="1"/>
  <c r="L644" i="80" s="1"/>
  <c r="L643" i="80" s="1"/>
  <c r="P648" i="80"/>
  <c r="P647" i="80" s="1"/>
  <c r="T648" i="80"/>
  <c r="T647" i="80" s="1"/>
  <c r="T644" i="80" s="1"/>
  <c r="T643" i="80" s="1"/>
  <c r="J691" i="80"/>
  <c r="J690" i="80" s="1"/>
  <c r="J689" i="80" s="1"/>
  <c r="R691" i="80"/>
  <c r="R690" i="80" s="1"/>
  <c r="R689" i="80" s="1"/>
  <c r="L267" i="80"/>
  <c r="L266" i="80" s="1"/>
  <c r="T267" i="80"/>
  <c r="T266" i="80" s="1"/>
  <c r="O420" i="80"/>
  <c r="O419" i="80" s="1"/>
  <c r="N29" i="80"/>
  <c r="N28" i="80" s="1"/>
  <c r="N27" i="80" s="1"/>
  <c r="R29" i="80"/>
  <c r="R276" i="80"/>
  <c r="R275" i="80" s="1"/>
  <c r="J307" i="80"/>
  <c r="J306" i="80" s="1"/>
  <c r="J305" i="80" s="1"/>
  <c r="N307" i="80"/>
  <c r="N306" i="80" s="1"/>
  <c r="K322" i="80"/>
  <c r="K321" i="80" s="1"/>
  <c r="G385" i="80"/>
  <c r="K385" i="80"/>
  <c r="K377" i="80" s="1"/>
  <c r="O385" i="80"/>
  <c r="O377" i="80" s="1"/>
  <c r="K555" i="80"/>
  <c r="O555" i="80"/>
  <c r="N619" i="80"/>
  <c r="N610" i="80" s="1"/>
  <c r="N609" i="80" s="1"/>
  <c r="N608" i="80" s="1"/>
  <c r="N607" i="80" s="1"/>
  <c r="S657" i="80"/>
  <c r="S656" i="80" s="1"/>
  <c r="S655" i="80" s="1"/>
  <c r="J657" i="80"/>
  <c r="R657" i="80"/>
  <c r="S47" i="80"/>
  <c r="V57" i="80"/>
  <c r="U73" i="80"/>
  <c r="U166" i="80"/>
  <c r="H164" i="80"/>
  <c r="H163" i="80" s="1"/>
  <c r="H162" i="80" s="1"/>
  <c r="H161" i="80" s="1"/>
  <c r="T194" i="80"/>
  <c r="P250" i="80"/>
  <c r="G29" i="80"/>
  <c r="G28" i="80" s="1"/>
  <c r="G27" i="80" s="1"/>
  <c r="S29" i="80"/>
  <c r="S28" i="80" s="1"/>
  <c r="S27" i="80" s="1"/>
  <c r="T47" i="80"/>
  <c r="G85" i="80"/>
  <c r="I95" i="80"/>
  <c r="I94" i="80" s="1"/>
  <c r="I93" i="80" s="1"/>
  <c r="Q95" i="80"/>
  <c r="Q94" i="80" s="1"/>
  <c r="Q93" i="80" s="1"/>
  <c r="H96" i="80"/>
  <c r="H95" i="80" s="1"/>
  <c r="U143" i="80"/>
  <c r="G142" i="80"/>
  <c r="G141" i="80" s="1"/>
  <c r="G140" i="80" s="1"/>
  <c r="I162" i="80"/>
  <c r="I161" i="80" s="1"/>
  <c r="M162" i="80"/>
  <c r="M161" i="80" s="1"/>
  <c r="Q162" i="80"/>
  <c r="Q161" i="80" s="1"/>
  <c r="V91" i="80"/>
  <c r="U125" i="80"/>
  <c r="H123" i="80"/>
  <c r="O323" i="80"/>
  <c r="G338" i="80"/>
  <c r="G332" i="80" s="1"/>
  <c r="M338" i="80"/>
  <c r="J388" i="80"/>
  <c r="V388" i="80" s="1"/>
  <c r="Q459" i="80"/>
  <c r="Q458" i="80" s="1"/>
  <c r="V520" i="80"/>
  <c r="J555" i="80"/>
  <c r="N555" i="80"/>
  <c r="R555" i="80"/>
  <c r="I594" i="80"/>
  <c r="I593" i="80" s="1"/>
  <c r="I584" i="80" s="1"/>
  <c r="U598" i="80"/>
  <c r="V626" i="80"/>
  <c r="N657" i="80"/>
  <c r="I691" i="80"/>
  <c r="I690" i="80" s="1"/>
  <c r="I689" i="80" s="1"/>
  <c r="Q691" i="80"/>
  <c r="Q690" i="80" s="1"/>
  <c r="Q689" i="80" s="1"/>
  <c r="Q688" i="80" s="1"/>
  <c r="H721" i="80"/>
  <c r="H720" i="80" s="1"/>
  <c r="M735" i="80"/>
  <c r="M734" i="80" s="1"/>
  <c r="M733" i="80" s="1"/>
  <c r="M732" i="80" s="1"/>
  <c r="M731" i="80" s="1"/>
  <c r="U131" i="80"/>
  <c r="U133" i="80"/>
  <c r="S322" i="80"/>
  <c r="S321" i="80" s="1"/>
  <c r="P420" i="80"/>
  <c r="P419" i="80" s="1"/>
  <c r="P418" i="80" s="1"/>
  <c r="V461" i="80"/>
  <c r="S555" i="80"/>
  <c r="G635" i="80"/>
  <c r="O657" i="80"/>
  <c r="G710" i="80"/>
  <c r="G709" i="80" s="1"/>
  <c r="G708" i="80" s="1"/>
  <c r="I721" i="80"/>
  <c r="I720" i="80" s="1"/>
  <c r="M721" i="80"/>
  <c r="M720" i="80" s="1"/>
  <c r="Q721" i="80"/>
  <c r="Q720" i="80" s="1"/>
  <c r="I732" i="80"/>
  <c r="I731" i="80" s="1"/>
  <c r="J276" i="80"/>
  <c r="J275" i="80" s="1"/>
  <c r="J721" i="80"/>
  <c r="J720" i="80" s="1"/>
  <c r="L732" i="80"/>
  <c r="L731" i="80" s="1"/>
  <c r="G95" i="80"/>
  <c r="I142" i="80"/>
  <c r="V142" i="80" s="1"/>
  <c r="Q194" i="80"/>
  <c r="N230" i="80"/>
  <c r="N229" i="80" s="1"/>
  <c r="N267" i="80"/>
  <c r="N266" i="80" s="1"/>
  <c r="I367" i="80"/>
  <c r="M367" i="80"/>
  <c r="Q367" i="80"/>
  <c r="O563" i="80"/>
  <c r="O619" i="80"/>
  <c r="O610" i="80" s="1"/>
  <c r="O609" i="80" s="1"/>
  <c r="O608" i="80" s="1"/>
  <c r="O607" i="80" s="1"/>
  <c r="U630" i="80"/>
  <c r="G657" i="80"/>
  <c r="K657" i="80"/>
  <c r="K656" i="80" s="1"/>
  <c r="K655" i="80" s="1"/>
  <c r="V699" i="80"/>
  <c r="O94" i="80"/>
  <c r="O93" i="80" s="1"/>
  <c r="L721" i="80"/>
  <c r="L720" i="80" s="1"/>
  <c r="U727" i="80"/>
  <c r="U697" i="80"/>
  <c r="T506" i="80"/>
  <c r="T502" i="80" s="1"/>
  <c r="V471" i="80"/>
  <c r="I420" i="80"/>
  <c r="I419" i="80" s="1"/>
  <c r="I418" i="80" s="1"/>
  <c r="Q420" i="80"/>
  <c r="Q419" i="80" s="1"/>
  <c r="Q418" i="80" s="1"/>
  <c r="I338" i="80"/>
  <c r="I332" i="80" s="1"/>
  <c r="I326" i="80" s="1"/>
  <c r="Q338" i="80"/>
  <c r="Q332" i="80" s="1"/>
  <c r="Q326" i="80" s="1"/>
  <c r="V336" i="80"/>
  <c r="R307" i="80"/>
  <c r="R306" i="80" s="1"/>
  <c r="R305" i="80" s="1"/>
  <c r="S293" i="80"/>
  <c r="P276" i="80"/>
  <c r="P275" i="80" s="1"/>
  <c r="U262" i="80"/>
  <c r="H250" i="80"/>
  <c r="H238" i="80" s="1"/>
  <c r="H237" i="80" s="1"/>
  <c r="I194" i="80"/>
  <c r="N177" i="80"/>
  <c r="N176" i="80" s="1"/>
  <c r="R177" i="80"/>
  <c r="R176" i="80" s="1"/>
  <c r="R175" i="80" s="1"/>
  <c r="L122" i="80"/>
  <c r="T122" i="80"/>
  <c r="T121" i="80" s="1"/>
  <c r="T120" i="80" s="1"/>
  <c r="N122" i="80"/>
  <c r="N121" i="80" s="1"/>
  <c r="N120" i="80" s="1"/>
  <c r="M146" i="80"/>
  <c r="M145" i="80" s="1"/>
  <c r="M138" i="80" s="1"/>
  <c r="K47" i="80"/>
  <c r="O47" i="80"/>
  <c r="J66" i="80"/>
  <c r="K29" i="80"/>
  <c r="K28" i="80" s="1"/>
  <c r="K27" i="80" s="1"/>
  <c r="V41" i="80"/>
  <c r="R66" i="80"/>
  <c r="U87" i="80"/>
  <c r="U111" i="80"/>
  <c r="S146" i="80"/>
  <c r="S145" i="80" s="1"/>
  <c r="S138" i="80" s="1"/>
  <c r="R162" i="80"/>
  <c r="R161" i="80" s="1"/>
  <c r="I177" i="80"/>
  <c r="I176" i="80" s="1"/>
  <c r="I175" i="80" s="1"/>
  <c r="M177" i="80"/>
  <c r="M176" i="80" s="1"/>
  <c r="M175" i="80" s="1"/>
  <c r="Q177" i="80"/>
  <c r="Q176" i="80" s="1"/>
  <c r="Q175" i="80" s="1"/>
  <c r="Q160" i="80" s="1"/>
  <c r="L250" i="80"/>
  <c r="T250" i="80"/>
  <c r="T238" i="80" s="1"/>
  <c r="T237" i="80" s="1"/>
  <c r="H267" i="80"/>
  <c r="H266" i="80" s="1"/>
  <c r="P267" i="80"/>
  <c r="P266" i="80" s="1"/>
  <c r="P265" i="80" s="1"/>
  <c r="U278" i="80"/>
  <c r="G307" i="80"/>
  <c r="G306" i="80" s="1"/>
  <c r="G305" i="80" s="1"/>
  <c r="K307" i="80"/>
  <c r="K306" i="80" s="1"/>
  <c r="K305" i="80" s="1"/>
  <c r="O307" i="80"/>
  <c r="O306" i="80" s="1"/>
  <c r="O305" i="80" s="1"/>
  <c r="S307" i="80"/>
  <c r="S306" i="80" s="1"/>
  <c r="S305" i="80" s="1"/>
  <c r="U309" i="80"/>
  <c r="I322" i="80"/>
  <c r="I321" i="80" s="1"/>
  <c r="N322" i="80"/>
  <c r="N321" i="80" s="1"/>
  <c r="U428" i="80"/>
  <c r="P194" i="80"/>
  <c r="V221" i="80"/>
  <c r="O230" i="80"/>
  <c r="O229" i="80" s="1"/>
  <c r="J230" i="80"/>
  <c r="J229" i="80" s="1"/>
  <c r="V296" i="80"/>
  <c r="V715" i="80"/>
  <c r="M194" i="80"/>
  <c r="Q66" i="80"/>
  <c r="R194" i="80"/>
  <c r="L220" i="80"/>
  <c r="L219" i="80" s="1"/>
  <c r="L218" i="80" s="1"/>
  <c r="V218" i="80" s="1"/>
  <c r="S230" i="80"/>
  <c r="S229" i="80" s="1"/>
  <c r="L276" i="80"/>
  <c r="L275" i="80" s="1"/>
  <c r="L265" i="80" s="1"/>
  <c r="M322" i="80"/>
  <c r="M321" i="80" s="1"/>
  <c r="U353" i="80"/>
  <c r="J338" i="80"/>
  <c r="J332" i="80" s="1"/>
  <c r="J326" i="80" s="1"/>
  <c r="N385" i="80"/>
  <c r="R385" i="80"/>
  <c r="V396" i="80"/>
  <c r="V402" i="80"/>
  <c r="V408" i="80"/>
  <c r="K545" i="80"/>
  <c r="K544" i="80" s="1"/>
  <c r="O545" i="80"/>
  <c r="S545" i="80"/>
  <c r="P555" i="80"/>
  <c r="H555" i="80"/>
  <c r="U665" i="80"/>
  <c r="P721" i="80"/>
  <c r="P720" i="80" s="1"/>
  <c r="N721" i="80"/>
  <c r="N720" i="80" s="1"/>
  <c r="R721" i="80"/>
  <c r="R720" i="80" s="1"/>
  <c r="K338" i="80"/>
  <c r="K332" i="80" s="1"/>
  <c r="K326" i="80" s="1"/>
  <c r="O367" i="80"/>
  <c r="I385" i="80"/>
  <c r="I377" i="80" s="1"/>
  <c r="M385" i="80"/>
  <c r="M377" i="80" s="1"/>
  <c r="M366" i="80" s="1"/>
  <c r="U425" i="80"/>
  <c r="H481" i="80"/>
  <c r="H480" i="80" s="1"/>
  <c r="U508" i="80"/>
  <c r="Q506" i="80"/>
  <c r="Q502" i="80" s="1"/>
  <c r="I555" i="80"/>
  <c r="Q555" i="80"/>
  <c r="K648" i="80"/>
  <c r="K647" i="80" s="1"/>
  <c r="K644" i="80" s="1"/>
  <c r="K643" i="80" s="1"/>
  <c r="S648" i="80"/>
  <c r="S647" i="80" s="1"/>
  <c r="S644" i="80" s="1"/>
  <c r="S643" i="80" s="1"/>
  <c r="G692" i="80"/>
  <c r="G691" i="80" s="1"/>
  <c r="G690" i="80" s="1"/>
  <c r="G689" i="80" s="1"/>
  <c r="O721" i="80"/>
  <c r="O720" i="80" s="1"/>
  <c r="T367" i="80"/>
  <c r="H420" i="80"/>
  <c r="H419" i="80" s="1"/>
  <c r="H418" i="80" s="1"/>
  <c r="V514" i="80"/>
  <c r="M420" i="80"/>
  <c r="M419" i="80" s="1"/>
  <c r="T563" i="80"/>
  <c r="O656" i="80"/>
  <c r="O655" i="80" s="1"/>
  <c r="S721" i="80"/>
  <c r="S720" i="80" s="1"/>
  <c r="K735" i="80"/>
  <c r="K734" i="80" s="1"/>
  <c r="K733" i="80" s="1"/>
  <c r="K732" i="80" s="1"/>
  <c r="K731" i="80" s="1"/>
  <c r="O735" i="80"/>
  <c r="O734" i="80" s="1"/>
  <c r="O733" i="80" s="1"/>
  <c r="O732" i="80" s="1"/>
  <c r="O731" i="80" s="1"/>
  <c r="S735" i="80"/>
  <c r="S734" i="80" s="1"/>
  <c r="S733" i="80" s="1"/>
  <c r="S732" i="80" s="1"/>
  <c r="S731" i="80" s="1"/>
  <c r="K146" i="80"/>
  <c r="K145" i="80" s="1"/>
  <c r="K138" i="80" s="1"/>
  <c r="J367" i="80"/>
  <c r="U18" i="80"/>
  <c r="L29" i="80"/>
  <c r="L28" i="80" s="1"/>
  <c r="L27" i="80" s="1"/>
  <c r="P29" i="80"/>
  <c r="P28" i="80" s="1"/>
  <c r="P27" i="80" s="1"/>
  <c r="T29" i="80"/>
  <c r="T28" i="80" s="1"/>
  <c r="T27" i="80" s="1"/>
  <c r="U82" i="80"/>
  <c r="I146" i="80"/>
  <c r="I145" i="80" s="1"/>
  <c r="L163" i="80"/>
  <c r="L162" i="80" s="1"/>
  <c r="N162" i="80"/>
  <c r="N161" i="80" s="1"/>
  <c r="L177" i="80"/>
  <c r="L176" i="80" s="1"/>
  <c r="L175" i="80" s="1"/>
  <c r="P177" i="80"/>
  <c r="P176" i="80" s="1"/>
  <c r="P175" i="80" s="1"/>
  <c r="T177" i="80"/>
  <c r="T176" i="80" s="1"/>
  <c r="T175" i="80" s="1"/>
  <c r="T160" i="80" s="1"/>
  <c r="V211" i="80"/>
  <c r="G250" i="80"/>
  <c r="J250" i="80"/>
  <c r="N250" i="80"/>
  <c r="R250" i="80"/>
  <c r="J267" i="80"/>
  <c r="J266" i="80" s="1"/>
  <c r="R267" i="80"/>
  <c r="R266" i="80" s="1"/>
  <c r="H276" i="80"/>
  <c r="H275" i="80" s="1"/>
  <c r="T276" i="80"/>
  <c r="T275" i="80" s="1"/>
  <c r="N276" i="80"/>
  <c r="N275" i="80" s="1"/>
  <c r="U301" i="80"/>
  <c r="V371" i="80"/>
  <c r="R367" i="80"/>
  <c r="L367" i="80"/>
  <c r="Q29" i="80"/>
  <c r="Q28" i="80" s="1"/>
  <c r="Q27" i="80" s="1"/>
  <c r="N66" i="80"/>
  <c r="V106" i="80"/>
  <c r="O162" i="80"/>
  <c r="O161" i="80" s="1"/>
  <c r="K230" i="80"/>
  <c r="K229" i="80" s="1"/>
  <c r="V242" i="80"/>
  <c r="V248" i="80"/>
  <c r="V262" i="80"/>
  <c r="V272" i="80"/>
  <c r="V278" i="80"/>
  <c r="Q276" i="80"/>
  <c r="Q275" i="80" s="1"/>
  <c r="K276" i="80"/>
  <c r="K275" i="80" s="1"/>
  <c r="O276" i="80"/>
  <c r="O275" i="80" s="1"/>
  <c r="V284" i="80"/>
  <c r="H322" i="80"/>
  <c r="H321" i="80" s="1"/>
  <c r="P322" i="80"/>
  <c r="P321" i="80" s="1"/>
  <c r="T322" i="80"/>
  <c r="T321" i="80" s="1"/>
  <c r="R338" i="80"/>
  <c r="R332" i="80" s="1"/>
  <c r="R326" i="80" s="1"/>
  <c r="U411" i="80"/>
  <c r="U413" i="80"/>
  <c r="V507" i="80"/>
  <c r="I506" i="80"/>
  <c r="U723" i="80"/>
  <c r="G722" i="80"/>
  <c r="G721" i="80" s="1"/>
  <c r="M47" i="80"/>
  <c r="Q47" i="80"/>
  <c r="Q46" i="80" s="1"/>
  <c r="Q45" i="80" s="1"/>
  <c r="U80" i="80"/>
  <c r="O146" i="80"/>
  <c r="O145" i="80" s="1"/>
  <c r="O138" i="80" s="1"/>
  <c r="K293" i="80"/>
  <c r="G293" i="80"/>
  <c r="Q307" i="80"/>
  <c r="Q306" i="80" s="1"/>
  <c r="Q305" i="80" s="1"/>
  <c r="O338" i="80"/>
  <c r="O332" i="80" s="1"/>
  <c r="O326" i="80" s="1"/>
  <c r="S338" i="80"/>
  <c r="S332" i="80" s="1"/>
  <c r="S326" i="80" s="1"/>
  <c r="K367" i="80"/>
  <c r="H367" i="80"/>
  <c r="K420" i="80"/>
  <c r="K419" i="80" s="1"/>
  <c r="K418" i="80" s="1"/>
  <c r="G424" i="80"/>
  <c r="G420" i="80" s="1"/>
  <c r="V24" i="80"/>
  <c r="N47" i="80"/>
  <c r="R47" i="80"/>
  <c r="R46" i="80" s="1"/>
  <c r="R45" i="80" s="1"/>
  <c r="V127" i="80"/>
  <c r="G130" i="80"/>
  <c r="U130" i="80" s="1"/>
  <c r="V130" i="80"/>
  <c r="U168" i="80"/>
  <c r="V184" i="80"/>
  <c r="H194" i="80"/>
  <c r="L194" i="80"/>
  <c r="M250" i="80"/>
  <c r="Q250" i="80"/>
  <c r="M261" i="80"/>
  <c r="K267" i="80"/>
  <c r="K266" i="80" s="1"/>
  <c r="R322" i="80"/>
  <c r="R321" i="80" s="1"/>
  <c r="U378" i="80"/>
  <c r="U381" i="80"/>
  <c r="U383" i="80"/>
  <c r="T420" i="80"/>
  <c r="T419" i="80" s="1"/>
  <c r="T418" i="80" s="1"/>
  <c r="K459" i="80"/>
  <c r="K458" i="80" s="1"/>
  <c r="S459" i="80"/>
  <c r="S458" i="80" s="1"/>
  <c r="J481" i="80"/>
  <c r="J480" i="80" s="1"/>
  <c r="V503" i="80"/>
  <c r="M506" i="80"/>
  <c r="M502" i="80" s="1"/>
  <c r="J506" i="80"/>
  <c r="J502" i="80" s="1"/>
  <c r="V550" i="80"/>
  <c r="G555" i="80"/>
  <c r="K563" i="80"/>
  <c r="V598" i="80"/>
  <c r="V628" i="80"/>
  <c r="V717" i="80"/>
  <c r="N732" i="80"/>
  <c r="N731" i="80" s="1"/>
  <c r="H732" i="80"/>
  <c r="H731" i="80" s="1"/>
  <c r="O459" i="80"/>
  <c r="O458" i="80" s="1"/>
  <c r="J470" i="80"/>
  <c r="N470" i="80"/>
  <c r="R470" i="80"/>
  <c r="U483" i="80"/>
  <c r="U487" i="80"/>
  <c r="U491" i="80"/>
  <c r="U511" i="80"/>
  <c r="O506" i="80"/>
  <c r="O502" i="80" s="1"/>
  <c r="S506" i="80"/>
  <c r="S502" i="80" s="1"/>
  <c r="V567" i="80"/>
  <c r="V582" i="80"/>
  <c r="U605" i="80"/>
  <c r="V612" i="80"/>
  <c r="V615" i="80"/>
  <c r="V617" i="80"/>
  <c r="U617" i="80"/>
  <c r="V638" i="80"/>
  <c r="V640" i="80"/>
  <c r="Q656" i="80"/>
  <c r="Q655" i="80" s="1"/>
  <c r="J656" i="80"/>
  <c r="J655" i="80" s="1"/>
  <c r="N656" i="80"/>
  <c r="N655" i="80" s="1"/>
  <c r="U672" i="80"/>
  <c r="U676" i="80"/>
  <c r="U706" i="80"/>
  <c r="U724" i="80"/>
  <c r="U738" i="80"/>
  <c r="I470" i="80"/>
  <c r="M482" i="80"/>
  <c r="U482" i="80" s="1"/>
  <c r="P481" i="80"/>
  <c r="P480" i="80" s="1"/>
  <c r="M525" i="80"/>
  <c r="M524" i="80" s="1"/>
  <c r="M523" i="80" s="1"/>
  <c r="M522" i="80" s="1"/>
  <c r="U580" i="80"/>
  <c r="V611" i="80"/>
  <c r="R610" i="80"/>
  <c r="R609" i="80" s="1"/>
  <c r="R608" i="80" s="1"/>
  <c r="R607" i="80" s="1"/>
  <c r="O644" i="80"/>
  <c r="O643" i="80" s="1"/>
  <c r="P644" i="80"/>
  <c r="P643" i="80" s="1"/>
  <c r="U729" i="80"/>
  <c r="V736" i="80"/>
  <c r="U447" i="80"/>
  <c r="V468" i="80"/>
  <c r="U478" i="80"/>
  <c r="V508" i="80"/>
  <c r="U538" i="80"/>
  <c r="U542" i="80"/>
  <c r="N545" i="80"/>
  <c r="N544" i="80" s="1"/>
  <c r="N517" i="80" s="1"/>
  <c r="G563" i="80"/>
  <c r="U588" i="80"/>
  <c r="U595" i="80"/>
  <c r="J644" i="80"/>
  <c r="J643" i="80" s="1"/>
  <c r="R644" i="80"/>
  <c r="R643" i="80" s="1"/>
  <c r="I648" i="80"/>
  <c r="I647" i="80" s="1"/>
  <c r="I644" i="80" s="1"/>
  <c r="I643" i="80" s="1"/>
  <c r="M648" i="80"/>
  <c r="M647" i="80" s="1"/>
  <c r="Q648" i="80"/>
  <c r="Q647" i="80" s="1"/>
  <c r="Q644" i="80" s="1"/>
  <c r="Q643" i="80" s="1"/>
  <c r="U652" i="80"/>
  <c r="U715" i="80"/>
  <c r="U717" i="80"/>
  <c r="U115" i="80"/>
  <c r="G114" i="80"/>
  <c r="U89" i="80"/>
  <c r="U151" i="80"/>
  <c r="G146" i="80"/>
  <c r="U190" i="80"/>
  <c r="G189" i="80"/>
  <c r="U189" i="80" s="1"/>
  <c r="V16" i="80"/>
  <c r="L15" i="80"/>
  <c r="L22" i="80"/>
  <c r="V34" i="80"/>
  <c r="H59" i="80"/>
  <c r="P59" i="80"/>
  <c r="L67" i="80"/>
  <c r="T67" i="80"/>
  <c r="R95" i="80"/>
  <c r="R94" i="80" s="1"/>
  <c r="R93" i="80" s="1"/>
  <c r="M17" i="80"/>
  <c r="I47" i="80"/>
  <c r="I56" i="80"/>
  <c r="V56" i="80" s="1"/>
  <c r="U57" i="80"/>
  <c r="V60" i="80"/>
  <c r="U60" i="80"/>
  <c r="V64" i="80"/>
  <c r="V68" i="80"/>
  <c r="U68" i="80"/>
  <c r="V70" i="80"/>
  <c r="M72" i="80"/>
  <c r="M66" i="80" s="1"/>
  <c r="U75" i="80"/>
  <c r="K72" i="80"/>
  <c r="O72" i="80"/>
  <c r="S72" i="80"/>
  <c r="U77" i="80"/>
  <c r="U78" i="80"/>
  <c r="V83" i="80"/>
  <c r="V85" i="80"/>
  <c r="U85" i="80"/>
  <c r="I90" i="80"/>
  <c r="S94" i="80"/>
  <c r="S93" i="80" s="1"/>
  <c r="U100" i="80"/>
  <c r="U104" i="80"/>
  <c r="U106" i="80"/>
  <c r="U136" i="80"/>
  <c r="U147" i="80"/>
  <c r="U149" i="80"/>
  <c r="S162" i="80"/>
  <c r="S161" i="80" s="1"/>
  <c r="U173" i="80"/>
  <c r="G172" i="80"/>
  <c r="O194" i="80"/>
  <c r="S194" i="80"/>
  <c r="M298" i="80"/>
  <c r="O293" i="80"/>
  <c r="V18" i="80"/>
  <c r="N23" i="80"/>
  <c r="N22" i="80" s="1"/>
  <c r="N21" i="80" s="1"/>
  <c r="U38" i="80"/>
  <c r="H72" i="80"/>
  <c r="L72" i="80"/>
  <c r="V82" i="80"/>
  <c r="U91" i="80"/>
  <c r="K94" i="80"/>
  <c r="K93" i="80" s="1"/>
  <c r="G110" i="80"/>
  <c r="U123" i="80"/>
  <c r="K122" i="80"/>
  <c r="K121" i="80" s="1"/>
  <c r="K120" i="80" s="1"/>
  <c r="O122" i="80"/>
  <c r="O121" i="80" s="1"/>
  <c r="O120" i="80" s="1"/>
  <c r="S122" i="80"/>
  <c r="S121" i="80" s="1"/>
  <c r="S120" i="80" s="1"/>
  <c r="V133" i="80"/>
  <c r="V136" i="80"/>
  <c r="L135" i="80"/>
  <c r="V135" i="80" s="1"/>
  <c r="V151" i="80"/>
  <c r="V155" i="80"/>
  <c r="U167" i="80"/>
  <c r="V187" i="80"/>
  <c r="V195" i="80"/>
  <c r="U201" i="80"/>
  <c r="G200" i="80"/>
  <c r="V205" i="80"/>
  <c r="V209" i="80"/>
  <c r="L208" i="80"/>
  <c r="V224" i="80"/>
  <c r="N223" i="80"/>
  <c r="V223" i="80" s="1"/>
  <c r="R28" i="80"/>
  <c r="R27" i="80" s="1"/>
  <c r="M28" i="80"/>
  <c r="M27" i="80" s="1"/>
  <c r="U56" i="80"/>
  <c r="U64" i="80"/>
  <c r="K59" i="80"/>
  <c r="O59" i="80"/>
  <c r="S59" i="80"/>
  <c r="U70" i="80"/>
  <c r="K67" i="80"/>
  <c r="O67" i="80"/>
  <c r="S67" i="80"/>
  <c r="V73" i="80"/>
  <c r="V75" i="80"/>
  <c r="V80" i="80"/>
  <c r="U83" i="80"/>
  <c r="V87" i="80"/>
  <c r="U90" i="80"/>
  <c r="U96" i="80"/>
  <c r="M95" i="80"/>
  <c r="M94" i="80" s="1"/>
  <c r="H94" i="80"/>
  <c r="H93" i="80" s="1"/>
  <c r="V110" i="80"/>
  <c r="N109" i="80"/>
  <c r="V109" i="80" s="1"/>
  <c r="U116" i="80"/>
  <c r="U118" i="80"/>
  <c r="U135" i="80"/>
  <c r="U152" i="80"/>
  <c r="L154" i="80"/>
  <c r="K162" i="80"/>
  <c r="K161" i="80" s="1"/>
  <c r="V167" i="80"/>
  <c r="U184" i="80"/>
  <c r="G176" i="80"/>
  <c r="U191" i="80"/>
  <c r="V17" i="80"/>
  <c r="U34" i="80"/>
  <c r="V38" i="80"/>
  <c r="L59" i="80"/>
  <c r="T59" i="80"/>
  <c r="H67" i="80"/>
  <c r="P67" i="80"/>
  <c r="N95" i="80"/>
  <c r="V116" i="80"/>
  <c r="L115" i="80"/>
  <c r="M122" i="80"/>
  <c r="M121" i="80" s="1"/>
  <c r="M120" i="80" s="1"/>
  <c r="Q122" i="80"/>
  <c r="Q121" i="80" s="1"/>
  <c r="Q120" i="80" s="1"/>
  <c r="V147" i="80"/>
  <c r="J154" i="80"/>
  <c r="J146" i="80" s="1"/>
  <c r="J145" i="80" s="1"/>
  <c r="J138" i="80" s="1"/>
  <c r="N154" i="80"/>
  <c r="N146" i="80" s="1"/>
  <c r="N145" i="80" s="1"/>
  <c r="N138" i="80" s="1"/>
  <c r="R154" i="80"/>
  <c r="R146" i="80" s="1"/>
  <c r="R145" i="80" s="1"/>
  <c r="R138" i="80" s="1"/>
  <c r="G162" i="80"/>
  <c r="V172" i="80"/>
  <c r="L171" i="80"/>
  <c r="V192" i="80"/>
  <c r="L191" i="80"/>
  <c r="U195" i="80"/>
  <c r="K194" i="80"/>
  <c r="N204" i="80"/>
  <c r="V215" i="80"/>
  <c r="N214" i="80"/>
  <c r="P72" i="80"/>
  <c r="T72" i="80"/>
  <c r="L95" i="80"/>
  <c r="L94" i="80" s="1"/>
  <c r="L93" i="80" s="1"/>
  <c r="P95" i="80"/>
  <c r="P94" i="80" s="1"/>
  <c r="P93" i="80" s="1"/>
  <c r="T95" i="80"/>
  <c r="T94" i="80" s="1"/>
  <c r="T93" i="80" s="1"/>
  <c r="V104" i="80"/>
  <c r="V111" i="80"/>
  <c r="J114" i="80"/>
  <c r="J113" i="80" s="1"/>
  <c r="N114" i="80"/>
  <c r="N113" i="80" s="1"/>
  <c r="R114" i="80"/>
  <c r="R113" i="80" s="1"/>
  <c r="V123" i="80"/>
  <c r="G122" i="80"/>
  <c r="V131" i="80"/>
  <c r="H146" i="80"/>
  <c r="H145" i="80" s="1"/>
  <c r="H138" i="80" s="1"/>
  <c r="V149" i="80"/>
  <c r="P146" i="80"/>
  <c r="P145" i="80" s="1"/>
  <c r="P138" i="80" s="1"/>
  <c r="T146" i="80"/>
  <c r="T145" i="80" s="1"/>
  <c r="T138" i="80" s="1"/>
  <c r="V152" i="80"/>
  <c r="U155" i="80"/>
  <c r="U157" i="80"/>
  <c r="V168" i="80"/>
  <c r="V173" i="80"/>
  <c r="U181" i="80"/>
  <c r="U185" i="80"/>
  <c r="U187" i="80"/>
  <c r="V200" i="80"/>
  <c r="V201" i="80"/>
  <c r="U205" i="80"/>
  <c r="G204" i="80"/>
  <c r="U216" i="80"/>
  <c r="M215" i="80"/>
  <c r="V226" i="80"/>
  <c r="V232" i="80"/>
  <c r="V234" i="80"/>
  <c r="V235" i="80"/>
  <c r="J241" i="80"/>
  <c r="N241" i="80"/>
  <c r="R241" i="80"/>
  <c r="U253" i="80"/>
  <c r="O250" i="80"/>
  <c r="O238" i="80" s="1"/>
  <c r="O237" i="80" s="1"/>
  <c r="S250" i="80"/>
  <c r="V257" i="80"/>
  <c r="V259" i="80"/>
  <c r="U259" i="80"/>
  <c r="I261" i="80"/>
  <c r="V261" i="80" s="1"/>
  <c r="V288" i="80"/>
  <c r="V301" i="80"/>
  <c r="N300" i="80"/>
  <c r="V309" i="80"/>
  <c r="V317" i="80"/>
  <c r="N316" i="80"/>
  <c r="V324" i="80"/>
  <c r="L323" i="80"/>
  <c r="U327" i="80"/>
  <c r="M332" i="80"/>
  <c r="M326" i="80" s="1"/>
  <c r="V358" i="80"/>
  <c r="N357" i="80"/>
  <c r="V357" i="80" s="1"/>
  <c r="M418" i="80"/>
  <c r="S420" i="80"/>
  <c r="S419" i="80" s="1"/>
  <c r="S418" i="80" s="1"/>
  <c r="V181" i="80"/>
  <c r="V185" i="80"/>
  <c r="V196" i="80"/>
  <c r="V197" i="80"/>
  <c r="V216" i="80"/>
  <c r="U221" i="80"/>
  <c r="G220" i="80"/>
  <c r="H230" i="80"/>
  <c r="H229" i="80" s="1"/>
  <c r="L241" i="80"/>
  <c r="U242" i="80"/>
  <c r="U248" i="80"/>
  <c r="V268" i="80"/>
  <c r="U272" i="80"/>
  <c r="Q267" i="80"/>
  <c r="Q266" i="80" s="1"/>
  <c r="K288" i="80"/>
  <c r="K287" i="80" s="1"/>
  <c r="K286" i="80" s="1"/>
  <c r="O288" i="80"/>
  <c r="O287" i="80" s="1"/>
  <c r="O286" i="80" s="1"/>
  <c r="S288" i="80"/>
  <c r="S287" i="80" s="1"/>
  <c r="S286" i="80" s="1"/>
  <c r="Q293" i="80"/>
  <c r="J293" i="80"/>
  <c r="R293" i="80"/>
  <c r="U303" i="80"/>
  <c r="I307" i="80"/>
  <c r="I306" i="80" s="1"/>
  <c r="I305" i="80" s="1"/>
  <c r="U308" i="80"/>
  <c r="U311" i="80"/>
  <c r="U192" i="80"/>
  <c r="U196" i="80"/>
  <c r="U197" i="80"/>
  <c r="V199" i="80"/>
  <c r="U211" i="80"/>
  <c r="G210" i="80"/>
  <c r="R230" i="80"/>
  <c r="R229" i="80" s="1"/>
  <c r="T230" i="80"/>
  <c r="T229" i="80" s="1"/>
  <c r="V239" i="80"/>
  <c r="V251" i="80"/>
  <c r="V253" i="80"/>
  <c r="U257" i="80"/>
  <c r="U269" i="80"/>
  <c r="G268" i="80"/>
  <c r="O267" i="80"/>
  <c r="O266" i="80" s="1"/>
  <c r="S267" i="80"/>
  <c r="S266" i="80" s="1"/>
  <c r="V280" i="80"/>
  <c r="V210" i="80"/>
  <c r="V225" i="80"/>
  <c r="U226" i="80"/>
  <c r="M225" i="80"/>
  <c r="V231" i="80"/>
  <c r="U232" i="80"/>
  <c r="M231" i="80"/>
  <c r="P230" i="80"/>
  <c r="P229" i="80" s="1"/>
  <c r="U235" i="80"/>
  <c r="G234" i="80"/>
  <c r="U234" i="80" s="1"/>
  <c r="P238" i="80"/>
  <c r="P237" i="80" s="1"/>
  <c r="U261" i="80"/>
  <c r="U281" i="80"/>
  <c r="G280" i="80"/>
  <c r="U280" i="80" s="1"/>
  <c r="S276" i="80"/>
  <c r="S275" i="80" s="1"/>
  <c r="U300" i="80"/>
  <c r="U317" i="80"/>
  <c r="M316" i="80"/>
  <c r="L321" i="80"/>
  <c r="V329" i="80"/>
  <c r="N328" i="80"/>
  <c r="U239" i="80"/>
  <c r="I241" i="80"/>
  <c r="M241" i="80"/>
  <c r="Q241" i="80"/>
  <c r="U251" i="80"/>
  <c r="V269" i="80"/>
  <c r="V281" i="80"/>
  <c r="U284" i="80"/>
  <c r="V289" i="80"/>
  <c r="U289" i="80"/>
  <c r="V291" i="80"/>
  <c r="H299" i="80"/>
  <c r="H298" i="80" s="1"/>
  <c r="V303" i="80"/>
  <c r="P299" i="80"/>
  <c r="P298" i="80" s="1"/>
  <c r="P293" i="80" s="1"/>
  <c r="T299" i="80"/>
  <c r="T298" i="80" s="1"/>
  <c r="T293" i="80" s="1"/>
  <c r="V308" i="80"/>
  <c r="H307" i="80"/>
  <c r="H306" i="80" s="1"/>
  <c r="H305" i="80" s="1"/>
  <c r="V311" i="80"/>
  <c r="P307" i="80"/>
  <c r="P306" i="80" s="1"/>
  <c r="P305" i="80" s="1"/>
  <c r="T307" i="80"/>
  <c r="T306" i="80" s="1"/>
  <c r="T305" i="80" s="1"/>
  <c r="U324" i="80"/>
  <c r="U334" i="80"/>
  <c r="U336" i="80"/>
  <c r="U342" i="80"/>
  <c r="U348" i="80"/>
  <c r="V348" i="80"/>
  <c r="V349" i="80"/>
  <c r="V355" i="80"/>
  <c r="V368" i="80"/>
  <c r="V369" i="80"/>
  <c r="U375" i="80"/>
  <c r="V381" i="80"/>
  <c r="S385" i="80"/>
  <c r="S377" i="80" s="1"/>
  <c r="S366" i="80" s="1"/>
  <c r="U396" i="80"/>
  <c r="U400" i="80"/>
  <c r="U402" i="80"/>
  <c r="U406" i="80"/>
  <c r="U408" i="80"/>
  <c r="G410" i="80"/>
  <c r="U410" i="80" s="1"/>
  <c r="U414" i="80"/>
  <c r="U416" i="80"/>
  <c r="V422" i="80"/>
  <c r="L421" i="80"/>
  <c r="U431" i="80"/>
  <c r="V454" i="80"/>
  <c r="N453" i="80"/>
  <c r="I460" i="80"/>
  <c r="V460" i="80" s="1"/>
  <c r="H459" i="80"/>
  <c r="H458" i="80" s="1"/>
  <c r="V466" i="80"/>
  <c r="S563" i="80"/>
  <c r="V333" i="80"/>
  <c r="V339" i="80"/>
  <c r="H332" i="80"/>
  <c r="H326" i="80" s="1"/>
  <c r="V372" i="80"/>
  <c r="H385" i="80"/>
  <c r="P385" i="80"/>
  <c r="T385" i="80"/>
  <c r="V414" i="80"/>
  <c r="O418" i="80"/>
  <c r="U421" i="80"/>
  <c r="J420" i="80"/>
  <c r="J419" i="80" s="1"/>
  <c r="J418" i="80" s="1"/>
  <c r="V425" i="80"/>
  <c r="N424" i="80"/>
  <c r="V424" i="80" s="1"/>
  <c r="R420" i="80"/>
  <c r="R419" i="80" s="1"/>
  <c r="R418" i="80" s="1"/>
  <c r="U430" i="80"/>
  <c r="G434" i="80"/>
  <c r="U436" i="80"/>
  <c r="M435" i="80"/>
  <c r="M434" i="80" s="1"/>
  <c r="U328" i="80"/>
  <c r="U329" i="80"/>
  <c r="U333" i="80"/>
  <c r="U339" i="80"/>
  <c r="U345" i="80"/>
  <c r="T332" i="80"/>
  <c r="T326" i="80" s="1"/>
  <c r="V353" i="80"/>
  <c r="U358" i="80"/>
  <c r="U362" i="80"/>
  <c r="G361" i="80"/>
  <c r="U361" i="80" s="1"/>
  <c r="V362" i="80"/>
  <c r="V363" i="80"/>
  <c r="V378" i="80"/>
  <c r="U386" i="80"/>
  <c r="V411" i="80"/>
  <c r="N410" i="80"/>
  <c r="V410" i="80" s="1"/>
  <c r="L413" i="80"/>
  <c r="V437" i="80"/>
  <c r="V441" i="80"/>
  <c r="V445" i="80"/>
  <c r="V449" i="80"/>
  <c r="G453" i="80"/>
  <c r="U461" i="80"/>
  <c r="M460" i="80"/>
  <c r="U460" i="80" s="1"/>
  <c r="V463" i="80"/>
  <c r="J475" i="80"/>
  <c r="N475" i="80"/>
  <c r="R475" i="80"/>
  <c r="T481" i="80"/>
  <c r="T480" i="80" s="1"/>
  <c r="V334" i="80"/>
  <c r="N338" i="80"/>
  <c r="V342" i="80"/>
  <c r="V345" i="80"/>
  <c r="V346" i="80"/>
  <c r="U357" i="80"/>
  <c r="V359" i="80"/>
  <c r="V361" i="80"/>
  <c r="P367" i="80"/>
  <c r="U369" i="80"/>
  <c r="G368" i="80"/>
  <c r="U371" i="80"/>
  <c r="V375" i="80"/>
  <c r="J413" i="80"/>
  <c r="V416" i="80"/>
  <c r="R413" i="80"/>
  <c r="U422" i="80"/>
  <c r="U429" i="80"/>
  <c r="V431" i="80"/>
  <c r="N430" i="80"/>
  <c r="U437" i="80"/>
  <c r="U441" i="80"/>
  <c r="U445" i="80"/>
  <c r="U449" i="80"/>
  <c r="U346" i="80"/>
  <c r="U349" i="80"/>
  <c r="U355" i="80"/>
  <c r="U359" i="80"/>
  <c r="U363" i="80"/>
  <c r="U372" i="80"/>
  <c r="H380" i="80"/>
  <c r="V383" i="80"/>
  <c r="P380" i="80"/>
  <c r="T380" i="80"/>
  <c r="V386" i="80"/>
  <c r="V400" i="80"/>
  <c r="V406" i="80"/>
  <c r="J436" i="80"/>
  <c r="J435" i="80" s="1"/>
  <c r="J434" i="80" s="1"/>
  <c r="V439" i="80"/>
  <c r="R436" i="80"/>
  <c r="R435" i="80" s="1"/>
  <c r="R434" i="80" s="1"/>
  <c r="V443" i="80"/>
  <c r="V447" i="80"/>
  <c r="U468" i="80"/>
  <c r="U471" i="80"/>
  <c r="V473" i="80"/>
  <c r="V483" i="80"/>
  <c r="L482" i="80"/>
  <c r="V487" i="80"/>
  <c r="V491" i="80"/>
  <c r="U499" i="80"/>
  <c r="O481" i="80"/>
  <c r="O480" i="80" s="1"/>
  <c r="O457" i="80" s="1"/>
  <c r="O433" i="80" s="1"/>
  <c r="S481" i="80"/>
  <c r="S480" i="80" s="1"/>
  <c r="L506" i="80"/>
  <c r="L502" i="80" s="1"/>
  <c r="V511" i="80"/>
  <c r="U520" i="80"/>
  <c r="V556" i="80"/>
  <c r="U504" i="80"/>
  <c r="U507" i="80"/>
  <c r="V510" i="80"/>
  <c r="U514" i="80"/>
  <c r="V515" i="80"/>
  <c r="U519" i="80"/>
  <c r="V526" i="80"/>
  <c r="V528" i="80"/>
  <c r="V530" i="80"/>
  <c r="V532" i="80"/>
  <c r="V534" i="80"/>
  <c r="V536" i="80"/>
  <c r="V538" i="80"/>
  <c r="V540" i="80"/>
  <c r="V542" i="80"/>
  <c r="Q523" i="80"/>
  <c r="Q522" i="80" s="1"/>
  <c r="M545" i="80"/>
  <c r="Q545" i="80"/>
  <c r="Q544" i="80" s="1"/>
  <c r="U557" i="80"/>
  <c r="M556" i="80"/>
  <c r="M555" i="80" s="1"/>
  <c r="V557" i="80"/>
  <c r="U496" i="80"/>
  <c r="K506" i="80"/>
  <c r="K502" i="80" s="1"/>
  <c r="U513" i="80"/>
  <c r="J545" i="80"/>
  <c r="R545" i="80"/>
  <c r="U573" i="80"/>
  <c r="M572" i="80"/>
  <c r="V476" i="80"/>
  <c r="U485" i="80"/>
  <c r="U489" i="80"/>
  <c r="U494" i="80"/>
  <c r="V496" i="80"/>
  <c r="G503" i="80"/>
  <c r="U503" i="80" s="1"/>
  <c r="V504" i="80"/>
  <c r="G510" i="80"/>
  <c r="U510" i="80" s="1"/>
  <c r="I513" i="80"/>
  <c r="V513" i="80" s="1"/>
  <c r="G518" i="80"/>
  <c r="U518" i="80" s="1"/>
  <c r="I519" i="80"/>
  <c r="I525" i="80"/>
  <c r="U528" i="80"/>
  <c r="K525" i="80"/>
  <c r="K524" i="80" s="1"/>
  <c r="K523" i="80" s="1"/>
  <c r="K522" i="80" s="1"/>
  <c r="O525" i="80"/>
  <c r="O524" i="80" s="1"/>
  <c r="O523" i="80" s="1"/>
  <c r="O522" i="80" s="1"/>
  <c r="S525" i="80"/>
  <c r="S524" i="80" s="1"/>
  <c r="S523" i="80" s="1"/>
  <c r="S522" i="80" s="1"/>
  <c r="U532" i="80"/>
  <c r="U536" i="80"/>
  <c r="U540" i="80"/>
  <c r="S544" i="80"/>
  <c r="V485" i="80"/>
  <c r="N481" i="80"/>
  <c r="N480" i="80" s="1"/>
  <c r="R481" i="80"/>
  <c r="R480" i="80" s="1"/>
  <c r="V494" i="80"/>
  <c r="V497" i="80"/>
  <c r="U497" i="80"/>
  <c r="V499" i="80"/>
  <c r="Q481" i="80"/>
  <c r="Q480" i="80" s="1"/>
  <c r="Q457" i="80" s="1"/>
  <c r="U550" i="80"/>
  <c r="H545" i="80"/>
  <c r="L545" i="80"/>
  <c r="P545" i="80"/>
  <c r="P544" i="80" s="1"/>
  <c r="P517" i="80" s="1"/>
  <c r="T545" i="80"/>
  <c r="V560" i="80"/>
  <c r="R584" i="80"/>
  <c r="N584" i="80"/>
  <c r="H657" i="80"/>
  <c r="L657" i="80"/>
  <c r="P657" i="80"/>
  <c r="T657" i="80"/>
  <c r="U578" i="80"/>
  <c r="V589" i="80"/>
  <c r="V596" i="80"/>
  <c r="H602" i="80"/>
  <c r="H601" i="80" s="1"/>
  <c r="H600" i="80" s="1"/>
  <c r="V605" i="80"/>
  <c r="P602" i="80"/>
  <c r="P601" i="80" s="1"/>
  <c r="P600" i="80" s="1"/>
  <c r="T602" i="80"/>
  <c r="T601" i="80" s="1"/>
  <c r="T600" i="80" s="1"/>
  <c r="P619" i="80"/>
  <c r="P610" i="80" s="1"/>
  <c r="P609" i="80" s="1"/>
  <c r="P608" i="80" s="1"/>
  <c r="P607" i="80" s="1"/>
  <c r="T619" i="80"/>
  <c r="T610" i="80" s="1"/>
  <c r="T609" i="80" s="1"/>
  <c r="T608" i="80" s="1"/>
  <c r="T607" i="80" s="1"/>
  <c r="V633" i="80"/>
  <c r="U639" i="80"/>
  <c r="U658" i="80"/>
  <c r="U662" i="80"/>
  <c r="U668" i="80"/>
  <c r="U686" i="80"/>
  <c r="V693" i="80"/>
  <c r="V706" i="80"/>
  <c r="U711" i="80"/>
  <c r="V713" i="80"/>
  <c r="V722" i="80"/>
  <c r="V724" i="80"/>
  <c r="V725" i="80"/>
  <c r="V727" i="80"/>
  <c r="V729" i="80"/>
  <c r="U736" i="80"/>
  <c r="V742" i="80"/>
  <c r="V744" i="80"/>
  <c r="V578" i="80"/>
  <c r="K594" i="80"/>
  <c r="K593" i="80" s="1"/>
  <c r="O594" i="80"/>
  <c r="O593" i="80" s="1"/>
  <c r="S594" i="80"/>
  <c r="S593" i="80" s="1"/>
  <c r="U603" i="80"/>
  <c r="U611" i="80"/>
  <c r="K610" i="80"/>
  <c r="K609" i="80" s="1"/>
  <c r="K608" i="80" s="1"/>
  <c r="K607" i="80" s="1"/>
  <c r="V620" i="80"/>
  <c r="V622" i="80"/>
  <c r="U633" i="80"/>
  <c r="U635" i="80"/>
  <c r="V639" i="80"/>
  <c r="V649" i="80"/>
  <c r="V658" i="80"/>
  <c r="V662" i="80"/>
  <c r="V665" i="80"/>
  <c r="V668" i="80"/>
  <c r="V672" i="80"/>
  <c r="V676" i="80"/>
  <c r="V686" i="80"/>
  <c r="U716" i="80"/>
  <c r="U718" i="80"/>
  <c r="U722" i="80"/>
  <c r="U728" i="80"/>
  <c r="U741" i="80"/>
  <c r="U743" i="80"/>
  <c r="I577" i="80"/>
  <c r="I576" i="80" s="1"/>
  <c r="Q577" i="80"/>
  <c r="Q576" i="80" s="1"/>
  <c r="Q575" i="80" s="1"/>
  <c r="Q563" i="80" s="1"/>
  <c r="V580" i="80"/>
  <c r="H577" i="80"/>
  <c r="H576" i="80" s="1"/>
  <c r="H575" i="80" s="1"/>
  <c r="H563" i="80" s="1"/>
  <c r="P577" i="80"/>
  <c r="P576" i="80" s="1"/>
  <c r="P575" i="80" s="1"/>
  <c r="P563" i="80" s="1"/>
  <c r="V588" i="80"/>
  <c r="V595" i="80"/>
  <c r="H594" i="80"/>
  <c r="H593" i="80" s="1"/>
  <c r="P594" i="80"/>
  <c r="P593" i="80" s="1"/>
  <c r="T594" i="80"/>
  <c r="T593" i="80" s="1"/>
  <c r="V603" i="80"/>
  <c r="J619" i="80"/>
  <c r="J610" i="80" s="1"/>
  <c r="J609" i="80" s="1"/>
  <c r="J608" i="80" s="1"/>
  <c r="J607" i="80" s="1"/>
  <c r="V630" i="80"/>
  <c r="U638" i="80"/>
  <c r="U640" i="80"/>
  <c r="U645" i="80"/>
  <c r="U649" i="80"/>
  <c r="M661" i="80"/>
  <c r="U661" i="80" s="1"/>
  <c r="G664" i="80"/>
  <c r="U670" i="80"/>
  <c r="U674" i="80"/>
  <c r="V692" i="80"/>
  <c r="V697" i="80"/>
  <c r="V701" i="80"/>
  <c r="V716" i="80"/>
  <c r="V718" i="80"/>
  <c r="V723" i="80"/>
  <c r="V728" i="80"/>
  <c r="V741" i="80"/>
  <c r="V743" i="80"/>
  <c r="J577" i="80"/>
  <c r="J576" i="80" s="1"/>
  <c r="J575" i="80" s="1"/>
  <c r="J563" i="80" s="1"/>
  <c r="N577" i="80"/>
  <c r="N576" i="80" s="1"/>
  <c r="N575" i="80" s="1"/>
  <c r="R577" i="80"/>
  <c r="R576" i="80" s="1"/>
  <c r="R575" i="80" s="1"/>
  <c r="R563" i="80" s="1"/>
  <c r="U589" i="80"/>
  <c r="M594" i="80"/>
  <c r="M593" i="80" s="1"/>
  <c r="M584" i="80" s="1"/>
  <c r="U596" i="80"/>
  <c r="K602" i="80"/>
  <c r="K601" i="80" s="1"/>
  <c r="K600" i="80" s="1"/>
  <c r="O602" i="80"/>
  <c r="O601" i="80" s="1"/>
  <c r="O600" i="80" s="1"/>
  <c r="S602" i="80"/>
  <c r="S601" i="80" s="1"/>
  <c r="S600" i="80" s="1"/>
  <c r="U612" i="80"/>
  <c r="I614" i="80"/>
  <c r="V614" i="80" s="1"/>
  <c r="U615" i="80"/>
  <c r="U624" i="80"/>
  <c r="U628" i="80"/>
  <c r="V645" i="80"/>
  <c r="V652" i="80"/>
  <c r="V661" i="80"/>
  <c r="V664" i="80"/>
  <c r="H667" i="80"/>
  <c r="V670" i="80"/>
  <c r="P667" i="80"/>
  <c r="T667" i="80"/>
  <c r="V674" i="80"/>
  <c r="U699" i="80"/>
  <c r="U725" i="80"/>
  <c r="U742" i="80"/>
  <c r="U744" i="80"/>
  <c r="K22" i="80"/>
  <c r="U23" i="80"/>
  <c r="U40" i="80"/>
  <c r="U24" i="80"/>
  <c r="U52" i="80"/>
  <c r="I141" i="80"/>
  <c r="U41" i="80"/>
  <c r="H30" i="80"/>
  <c r="H29" i="80" s="1"/>
  <c r="H28" i="80" s="1"/>
  <c r="H27" i="80" s="1"/>
  <c r="I40" i="80"/>
  <c r="S238" i="80"/>
  <c r="S237" i="80" s="1"/>
  <c r="J48" i="80"/>
  <c r="H127" i="80"/>
  <c r="H122" i="80" s="1"/>
  <c r="H121" i="80" s="1"/>
  <c r="H120" i="80" s="1"/>
  <c r="U753" i="80"/>
  <c r="U246" i="80"/>
  <c r="I250" i="80"/>
  <c r="I256" i="80"/>
  <c r="I271" i="80"/>
  <c r="M271" i="80"/>
  <c r="I277" i="80"/>
  <c r="M277" i="80"/>
  <c r="M288" i="80"/>
  <c r="M287" i="80" s="1"/>
  <c r="M286" i="80" s="1"/>
  <c r="U291" i="80"/>
  <c r="G288" i="80"/>
  <c r="U754" i="80"/>
  <c r="V100" i="80"/>
  <c r="V118" i="80"/>
  <c r="V753" i="80"/>
  <c r="V157" i="80"/>
  <c r="V246" i="80"/>
  <c r="H48" i="80"/>
  <c r="V754" i="80"/>
  <c r="I122" i="80"/>
  <c r="U759" i="80"/>
  <c r="K250" i="80"/>
  <c r="U254" i="80"/>
  <c r="G256" i="80"/>
  <c r="I287" i="80"/>
  <c r="G59" i="80"/>
  <c r="G67" i="80"/>
  <c r="G72" i="80"/>
  <c r="L146" i="80"/>
  <c r="L230" i="80"/>
  <c r="V759" i="80"/>
  <c r="I295" i="80"/>
  <c r="M295" i="80"/>
  <c r="P459" i="80"/>
  <c r="P458" i="80" s="1"/>
  <c r="T459" i="80"/>
  <c r="T458" i="80" s="1"/>
  <c r="U463" i="80"/>
  <c r="U470" i="80"/>
  <c r="U475" i="80"/>
  <c r="U476" i="80"/>
  <c r="V478" i="80"/>
  <c r="R544" i="80"/>
  <c r="R517" i="80" s="1"/>
  <c r="L299" i="80"/>
  <c r="L307" i="80"/>
  <c r="N367" i="80"/>
  <c r="L380" i="80"/>
  <c r="L385" i="80"/>
  <c r="N413" i="80"/>
  <c r="N436" i="80"/>
  <c r="N435" i="80" s="1"/>
  <c r="N434" i="80" s="1"/>
  <c r="G459" i="80"/>
  <c r="U546" i="80"/>
  <c r="G545" i="80"/>
  <c r="H296" i="80"/>
  <c r="H295" i="80" s="1"/>
  <c r="H294" i="80" s="1"/>
  <c r="N459" i="80"/>
  <c r="N458" i="80" s="1"/>
  <c r="R459" i="80"/>
  <c r="R458" i="80" s="1"/>
  <c r="L465" i="80"/>
  <c r="V465" i="80" s="1"/>
  <c r="U466" i="80"/>
  <c r="U473" i="80"/>
  <c r="N571" i="80"/>
  <c r="V572" i="80"/>
  <c r="U465" i="80"/>
  <c r="V546" i="80"/>
  <c r="I545" i="80"/>
  <c r="G481" i="80"/>
  <c r="V547" i="80"/>
  <c r="U553" i="80"/>
  <c r="U560" i="80"/>
  <c r="L566" i="80"/>
  <c r="U567" i="80"/>
  <c r="V573" i="80"/>
  <c r="U582" i="80"/>
  <c r="V489" i="80"/>
  <c r="U566" i="80"/>
  <c r="I481" i="80"/>
  <c r="V553" i="80"/>
  <c r="L555" i="80"/>
  <c r="U565" i="80"/>
  <c r="L577" i="80"/>
  <c r="L576" i="80" s="1"/>
  <c r="L575" i="80" s="1"/>
  <c r="G525" i="80"/>
  <c r="U547" i="80"/>
  <c r="U564" i="80"/>
  <c r="M577" i="80"/>
  <c r="M576" i="80" s="1"/>
  <c r="M575" i="80" s="1"/>
  <c r="G587" i="80"/>
  <c r="G586" i="80" s="1"/>
  <c r="G594" i="80"/>
  <c r="U750" i="80"/>
  <c r="G602" i="80"/>
  <c r="V624" i="80"/>
  <c r="L587" i="80"/>
  <c r="L586" i="80" s="1"/>
  <c r="L594" i="80"/>
  <c r="V750" i="80"/>
  <c r="L602" i="80"/>
  <c r="U749" i="80"/>
  <c r="U752" i="80"/>
  <c r="V749" i="80"/>
  <c r="V684" i="80"/>
  <c r="I683" i="80"/>
  <c r="V752" i="80"/>
  <c r="U614" i="80"/>
  <c r="L619" i="80"/>
  <c r="L610" i="80" s="1"/>
  <c r="L609" i="80" s="1"/>
  <c r="L608" i="80" s="1"/>
  <c r="L607" i="80" s="1"/>
  <c r="H620" i="80"/>
  <c r="H622" i="80"/>
  <c r="U622" i="80" s="1"/>
  <c r="I635" i="80"/>
  <c r="V635" i="80" s="1"/>
  <c r="N644" i="80"/>
  <c r="N643" i="80" s="1"/>
  <c r="L667" i="80"/>
  <c r="J711" i="80"/>
  <c r="J710" i="80" s="1"/>
  <c r="J709" i="80" s="1"/>
  <c r="J708" i="80" s="1"/>
  <c r="J738" i="80"/>
  <c r="J735" i="80" s="1"/>
  <c r="J734" i="80" s="1"/>
  <c r="J733" i="80" s="1"/>
  <c r="J732" i="80" s="1"/>
  <c r="J731" i="80" s="1"/>
  <c r="U164" i="80" l="1"/>
  <c r="M481" i="80"/>
  <c r="M480" i="80" s="1"/>
  <c r="M457" i="80" s="1"/>
  <c r="U323" i="80"/>
  <c r="U241" i="80"/>
  <c r="O688" i="80"/>
  <c r="V77" i="80"/>
  <c r="O544" i="80"/>
  <c r="G610" i="80"/>
  <c r="R688" i="80"/>
  <c r="O265" i="80"/>
  <c r="U692" i="80"/>
  <c r="N457" i="80"/>
  <c r="J544" i="80"/>
  <c r="J517" i="80" s="1"/>
  <c r="U163" i="80"/>
  <c r="V96" i="80"/>
  <c r="I160" i="80"/>
  <c r="S688" i="80"/>
  <c r="U684" i="80"/>
  <c r="V178" i="80"/>
  <c r="P160" i="80"/>
  <c r="T544" i="80"/>
  <c r="T517" i="80" s="1"/>
  <c r="O160" i="80"/>
  <c r="Q366" i="80"/>
  <c r="N688" i="80"/>
  <c r="J688" i="80"/>
  <c r="G506" i="80"/>
  <c r="U506" i="80" s="1"/>
  <c r="H47" i="80"/>
  <c r="U47" i="80" s="1"/>
  <c r="U424" i="80"/>
  <c r="V555" i="80"/>
  <c r="P457" i="80"/>
  <c r="P433" i="80" s="1"/>
  <c r="Q265" i="80"/>
  <c r="Q264" i="80" s="1"/>
  <c r="N420" i="80"/>
  <c r="N419" i="80" s="1"/>
  <c r="U710" i="80"/>
  <c r="U709" i="80"/>
  <c r="G276" i="80"/>
  <c r="V321" i="80"/>
  <c r="V78" i="80"/>
  <c r="U454" i="80"/>
  <c r="U708" i="80"/>
  <c r="T584" i="80"/>
  <c r="M688" i="80"/>
  <c r="K265" i="80"/>
  <c r="K264" i="80" s="1"/>
  <c r="O366" i="80"/>
  <c r="O320" i="80" s="1"/>
  <c r="T688" i="80"/>
  <c r="S584" i="80"/>
  <c r="J459" i="80"/>
  <c r="J458" i="80" s="1"/>
  <c r="J457" i="80" s="1"/>
  <c r="J433" i="80" s="1"/>
  <c r="J160" i="80"/>
  <c r="T265" i="80"/>
  <c r="T264" i="80" s="1"/>
  <c r="K637" i="80"/>
  <c r="V164" i="80"/>
  <c r="T66" i="80"/>
  <c r="T46" i="80" s="1"/>
  <c r="T45" i="80" s="1"/>
  <c r="T26" i="80" s="1"/>
  <c r="T13" i="80" s="1"/>
  <c r="U321" i="80"/>
  <c r="M160" i="80"/>
  <c r="H688" i="80"/>
  <c r="U713" i="80"/>
  <c r="J265" i="80"/>
  <c r="J264" i="80" s="1"/>
  <c r="S637" i="80"/>
  <c r="I688" i="80"/>
  <c r="Q238" i="80"/>
  <c r="Q237" i="80" s="1"/>
  <c r="Q228" i="80" s="1"/>
  <c r="V720" i="80"/>
  <c r="U555" i="80"/>
  <c r="Q637" i="80"/>
  <c r="H265" i="80"/>
  <c r="K457" i="80"/>
  <c r="K433" i="80" s="1"/>
  <c r="V506" i="80"/>
  <c r="J47" i="80"/>
  <c r="J46" i="80" s="1"/>
  <c r="J45" i="80" s="1"/>
  <c r="J26" i="80" s="1"/>
  <c r="J13" i="80" s="1"/>
  <c r="U689" i="80"/>
  <c r="U95" i="80"/>
  <c r="H656" i="80"/>
  <c r="H655" i="80" s="1"/>
  <c r="H637" i="80" s="1"/>
  <c r="K584" i="80"/>
  <c r="H584" i="80"/>
  <c r="H377" i="80"/>
  <c r="H366" i="80" s="1"/>
  <c r="H320" i="80" s="1"/>
  <c r="V220" i="80"/>
  <c r="N238" i="80"/>
  <c r="N237" i="80" s="1"/>
  <c r="N228" i="80" s="1"/>
  <c r="U154" i="80"/>
  <c r="H177" i="80"/>
  <c r="H176" i="80" s="1"/>
  <c r="H175" i="80" s="1"/>
  <c r="H160" i="80" s="1"/>
  <c r="G688" i="80"/>
  <c r="U691" i="80"/>
  <c r="P656" i="80"/>
  <c r="P655" i="80" s="1"/>
  <c r="P637" i="80" s="1"/>
  <c r="M433" i="80"/>
  <c r="V322" i="80"/>
  <c r="M320" i="80"/>
  <c r="U142" i="80"/>
  <c r="U141" i="80"/>
  <c r="M238" i="80"/>
  <c r="M237" i="80" s="1"/>
  <c r="R265" i="80"/>
  <c r="R264" i="80" s="1"/>
  <c r="I366" i="80"/>
  <c r="I320" i="80" s="1"/>
  <c r="U690" i="80"/>
  <c r="G121" i="80"/>
  <c r="U121" i="80" s="1"/>
  <c r="V219" i="80"/>
  <c r="M46" i="80"/>
  <c r="M45" i="80" s="1"/>
  <c r="O637" i="80"/>
  <c r="H293" i="80"/>
  <c r="U67" i="80"/>
  <c r="K366" i="80"/>
  <c r="K320" i="80" s="1"/>
  <c r="N46" i="80"/>
  <c r="N45" i="80" s="1"/>
  <c r="V95" i="80"/>
  <c r="T656" i="80"/>
  <c r="T655" i="80" s="1"/>
  <c r="T637" i="80" s="1"/>
  <c r="Q433" i="80"/>
  <c r="S457" i="80"/>
  <c r="S433" i="80" s="1"/>
  <c r="U322" i="80"/>
  <c r="V470" i="80"/>
  <c r="O584" i="80"/>
  <c r="Q517" i="80"/>
  <c r="V241" i="80"/>
  <c r="V657" i="80"/>
  <c r="U385" i="80"/>
  <c r="J385" i="80"/>
  <c r="J377" i="80" s="1"/>
  <c r="J366" i="80" s="1"/>
  <c r="J320" i="80" s="1"/>
  <c r="V162" i="80"/>
  <c r="G326" i="80"/>
  <c r="U326" i="80" s="1"/>
  <c r="U332" i="80"/>
  <c r="V30" i="80"/>
  <c r="V648" i="80"/>
  <c r="V689" i="80"/>
  <c r="H544" i="80"/>
  <c r="H517" i="80" s="1"/>
  <c r="R377" i="80"/>
  <c r="R366" i="80" s="1"/>
  <c r="R320" i="80" s="1"/>
  <c r="L238" i="80"/>
  <c r="L237" i="80" s="1"/>
  <c r="V323" i="80"/>
  <c r="V163" i="80"/>
  <c r="N94" i="80"/>
  <c r="N93" i="80" s="1"/>
  <c r="R160" i="80"/>
  <c r="L161" i="80"/>
  <c r="V161" i="80" s="1"/>
  <c r="N265" i="80"/>
  <c r="R656" i="80"/>
  <c r="R655" i="80" s="1"/>
  <c r="R637" i="80" s="1"/>
  <c r="U27" i="80"/>
  <c r="O228" i="80"/>
  <c r="V29" i="80"/>
  <c r="V690" i="80"/>
  <c r="U648" i="80"/>
  <c r="H228" i="80"/>
  <c r="V67" i="80"/>
  <c r="V731" i="80"/>
  <c r="U556" i="80"/>
  <c r="S228" i="80"/>
  <c r="V154" i="80"/>
  <c r="V721" i="80"/>
  <c r="U735" i="80"/>
  <c r="V691" i="80"/>
  <c r="V475" i="80"/>
  <c r="V59" i="80"/>
  <c r="N637" i="80"/>
  <c r="S517" i="80"/>
  <c r="T457" i="80"/>
  <c r="T433" i="80" s="1"/>
  <c r="H457" i="80"/>
  <c r="H433" i="80" s="1"/>
  <c r="V434" i="80"/>
  <c r="N377" i="80"/>
  <c r="N366" i="80" s="1"/>
  <c r="P377" i="80"/>
  <c r="P366" i="80" s="1"/>
  <c r="P320" i="80" s="1"/>
  <c r="V367" i="80"/>
  <c r="Q320" i="80"/>
  <c r="S320" i="80"/>
  <c r="U338" i="80"/>
  <c r="V250" i="80"/>
  <c r="U250" i="80"/>
  <c r="J238" i="80"/>
  <c r="J237" i="80" s="1"/>
  <c r="J228" i="80" s="1"/>
  <c r="T228" i="80"/>
  <c r="T159" i="80" s="1"/>
  <c r="R238" i="80"/>
  <c r="R237" i="80" s="1"/>
  <c r="R228" i="80" s="1"/>
  <c r="Q159" i="80"/>
  <c r="N26" i="80"/>
  <c r="N13" i="80" s="1"/>
  <c r="V48" i="80"/>
  <c r="V619" i="80"/>
  <c r="V735" i="80"/>
  <c r="P584" i="80"/>
  <c r="U721" i="80"/>
  <c r="G720" i="80"/>
  <c r="U720" i="80" s="1"/>
  <c r="V177" i="80"/>
  <c r="U127" i="80"/>
  <c r="M544" i="80"/>
  <c r="M517" i="80" s="1"/>
  <c r="P264" i="80"/>
  <c r="V23" i="80"/>
  <c r="G230" i="80"/>
  <c r="G229" i="80" s="1"/>
  <c r="L66" i="80"/>
  <c r="L46" i="80" s="1"/>
  <c r="L45" i="80" s="1"/>
  <c r="U734" i="80"/>
  <c r="G733" i="80"/>
  <c r="J637" i="80"/>
  <c r="V647" i="80"/>
  <c r="H619" i="80"/>
  <c r="H610" i="80" s="1"/>
  <c r="H609" i="80" s="1"/>
  <c r="H608" i="80" s="1"/>
  <c r="H607" i="80" s="1"/>
  <c r="U576" i="80"/>
  <c r="V711" i="80"/>
  <c r="R457" i="80"/>
  <c r="R433" i="80" s="1"/>
  <c r="O517" i="80"/>
  <c r="V519" i="80"/>
  <c r="I518" i="80"/>
  <c r="V518" i="80" s="1"/>
  <c r="I502" i="80"/>
  <c r="V502" i="80" s="1"/>
  <c r="T377" i="80"/>
  <c r="T366" i="80" s="1"/>
  <c r="T320" i="80" s="1"/>
  <c r="U453" i="80"/>
  <c r="G452" i="80"/>
  <c r="U435" i="80"/>
  <c r="U307" i="80"/>
  <c r="O264" i="80"/>
  <c r="V316" i="80"/>
  <c r="N315" i="80"/>
  <c r="U215" i="80"/>
  <c r="M214" i="80"/>
  <c r="P66" i="80"/>
  <c r="U162" i="80"/>
  <c r="G161" i="80"/>
  <c r="G175" i="80"/>
  <c r="K160" i="80"/>
  <c r="V72" i="80"/>
  <c r="V176" i="80"/>
  <c r="N175" i="80"/>
  <c r="U110" i="80"/>
  <c r="G109" i="80"/>
  <c r="U299" i="80"/>
  <c r="U172" i="80"/>
  <c r="G171" i="80"/>
  <c r="V90" i="80"/>
  <c r="I89" i="80"/>
  <c r="V89" i="80" s="1"/>
  <c r="O66" i="80"/>
  <c r="O46" i="80" s="1"/>
  <c r="O45" i="80" s="1"/>
  <c r="O26" i="80" s="1"/>
  <c r="O13" i="80" s="1"/>
  <c r="V22" i="80"/>
  <c r="L21" i="80"/>
  <c r="V21" i="80" s="1"/>
  <c r="V93" i="80"/>
  <c r="U146" i="80"/>
  <c r="G145" i="80"/>
  <c r="U145" i="80" s="1"/>
  <c r="V435" i="80"/>
  <c r="U664" i="80"/>
  <c r="G656" i="80"/>
  <c r="U667" i="80"/>
  <c r="K517" i="80"/>
  <c r="V430" i="80"/>
  <c r="N429" i="80"/>
  <c r="U368" i="80"/>
  <c r="G367" i="80"/>
  <c r="U367" i="80" s="1"/>
  <c r="U434" i="80"/>
  <c r="V421" i="80"/>
  <c r="L420" i="80"/>
  <c r="L419" i="80" s="1"/>
  <c r="L418" i="80" s="1"/>
  <c r="U306" i="80"/>
  <c r="U268" i="80"/>
  <c r="G267" i="80"/>
  <c r="G266" i="80" s="1"/>
  <c r="V214" i="80"/>
  <c r="N213" i="80"/>
  <c r="V213" i="80" s="1"/>
  <c r="V171" i="80"/>
  <c r="L170" i="80"/>
  <c r="V170" i="80" s="1"/>
  <c r="V115" i="80"/>
  <c r="L114" i="80"/>
  <c r="R26" i="80"/>
  <c r="R13" i="80" s="1"/>
  <c r="K66" i="80"/>
  <c r="K46" i="80" s="1"/>
  <c r="K45" i="80" s="1"/>
  <c r="K26" i="80" s="1"/>
  <c r="V94" i="80"/>
  <c r="V482" i="80"/>
  <c r="L481" i="80"/>
  <c r="L480" i="80" s="1"/>
  <c r="L457" i="80" s="1"/>
  <c r="L433" i="80" s="1"/>
  <c r="U420" i="80"/>
  <c r="G419" i="80"/>
  <c r="U380" i="80"/>
  <c r="V453" i="80"/>
  <c r="N452" i="80"/>
  <c r="G377" i="80"/>
  <c r="V328" i="80"/>
  <c r="N327" i="80"/>
  <c r="V327" i="80" s="1"/>
  <c r="U316" i="80"/>
  <c r="M315" i="80"/>
  <c r="P228" i="80"/>
  <c r="P159" i="80" s="1"/>
  <c r="U225" i="80"/>
  <c r="M224" i="80"/>
  <c r="U220" i="80"/>
  <c r="G219" i="80"/>
  <c r="U204" i="80"/>
  <c r="G203" i="80"/>
  <c r="U203" i="80" s="1"/>
  <c r="U200" i="80"/>
  <c r="G199" i="80"/>
  <c r="H66" i="80"/>
  <c r="H46" i="80" s="1"/>
  <c r="H45" i="80" s="1"/>
  <c r="H26" i="80" s="1"/>
  <c r="H13" i="80" s="1"/>
  <c r="S160" i="80"/>
  <c r="I46" i="80"/>
  <c r="U140" i="80"/>
  <c r="G139" i="80"/>
  <c r="V15" i="80"/>
  <c r="L14" i="80"/>
  <c r="V14" i="80" s="1"/>
  <c r="U114" i="80"/>
  <c r="G113" i="80"/>
  <c r="U113" i="80" s="1"/>
  <c r="V710" i="80"/>
  <c r="V644" i="80"/>
  <c r="L544" i="80"/>
  <c r="L517" i="80" s="1"/>
  <c r="M657" i="80"/>
  <c r="U647" i="80"/>
  <c r="M644" i="80"/>
  <c r="V525" i="80"/>
  <c r="I524" i="80"/>
  <c r="U572" i="80"/>
  <c r="M571" i="80"/>
  <c r="V338" i="80"/>
  <c r="N332" i="80"/>
  <c r="I459" i="80"/>
  <c r="I458" i="80" s="1"/>
  <c r="U231" i="80"/>
  <c r="M230" i="80"/>
  <c r="S265" i="80"/>
  <c r="S264" i="80" s="1"/>
  <c r="U210" i="80"/>
  <c r="G209" i="80"/>
  <c r="V300" i="80"/>
  <c r="N299" i="80"/>
  <c r="N298" i="80" s="1"/>
  <c r="N293" i="80" s="1"/>
  <c r="V204" i="80"/>
  <c r="N203" i="80"/>
  <c r="V191" i="80"/>
  <c r="L190" i="80"/>
  <c r="M93" i="80"/>
  <c r="Q26" i="80"/>
  <c r="Q13" i="80" s="1"/>
  <c r="V208" i="80"/>
  <c r="L207" i="80"/>
  <c r="V207" i="80" s="1"/>
  <c r="U298" i="80"/>
  <c r="L121" i="80"/>
  <c r="L120" i="80" s="1"/>
  <c r="S66" i="80"/>
  <c r="S46" i="80" s="1"/>
  <c r="S45" i="80" s="1"/>
  <c r="S26" i="80" s="1"/>
  <c r="S13" i="80" s="1"/>
  <c r="U17" i="80"/>
  <c r="M16" i="80"/>
  <c r="V594" i="80"/>
  <c r="L593" i="80"/>
  <c r="V593" i="80" s="1"/>
  <c r="U459" i="80"/>
  <c r="G458" i="80"/>
  <c r="U458" i="80" s="1"/>
  <c r="V307" i="80"/>
  <c r="L306" i="80"/>
  <c r="L229" i="80"/>
  <c r="V230" i="80"/>
  <c r="K238" i="80"/>
  <c r="K237" i="80" s="1"/>
  <c r="K228" i="80" s="1"/>
  <c r="V643" i="80"/>
  <c r="G609" i="80"/>
  <c r="V586" i="80"/>
  <c r="L585" i="80"/>
  <c r="V585" i="80" s="1"/>
  <c r="U594" i="80"/>
  <c r="G593" i="80"/>
  <c r="U593" i="80" s="1"/>
  <c r="U575" i="80"/>
  <c r="G524" i="80"/>
  <c r="U525" i="80"/>
  <c r="I480" i="80"/>
  <c r="V566" i="80"/>
  <c r="L565" i="80"/>
  <c r="U481" i="80"/>
  <c r="G480" i="80"/>
  <c r="V380" i="80"/>
  <c r="L377" i="80"/>
  <c r="L298" i="80"/>
  <c r="U295" i="80"/>
  <c r="M294" i="80"/>
  <c r="L145" i="80"/>
  <c r="V146" i="80"/>
  <c r="V436" i="80"/>
  <c r="G287" i="80"/>
  <c r="U288" i="80"/>
  <c r="V277" i="80"/>
  <c r="I276" i="80"/>
  <c r="U28" i="80"/>
  <c r="V667" i="80"/>
  <c r="L656" i="80"/>
  <c r="L655" i="80" s="1"/>
  <c r="L637" i="80" s="1"/>
  <c r="V734" i="80"/>
  <c r="I610" i="80"/>
  <c r="V576" i="80"/>
  <c r="I575" i="80"/>
  <c r="V571" i="80"/>
  <c r="N570" i="80"/>
  <c r="M267" i="80"/>
  <c r="U271" i="80"/>
  <c r="V40" i="80"/>
  <c r="I28" i="80"/>
  <c r="V738" i="80"/>
  <c r="V602" i="80"/>
  <c r="L601" i="80"/>
  <c r="V733" i="80"/>
  <c r="U586" i="80"/>
  <c r="G585" i="80"/>
  <c r="U585" i="80" s="1"/>
  <c r="U545" i="80"/>
  <c r="G544" i="80"/>
  <c r="V295" i="80"/>
  <c r="I294" i="80"/>
  <c r="G66" i="80"/>
  <c r="U72" i="80"/>
  <c r="V287" i="80"/>
  <c r="I286" i="80"/>
  <c r="V286" i="80" s="1"/>
  <c r="G255" i="80"/>
  <c r="U256" i="80"/>
  <c r="U122" i="80"/>
  <c r="V732" i="80"/>
  <c r="U620" i="80"/>
  <c r="V683" i="80"/>
  <c r="I656" i="80"/>
  <c r="V709" i="80"/>
  <c r="V708" i="80"/>
  <c r="U602" i="80"/>
  <c r="G601" i="80"/>
  <c r="U577" i="80"/>
  <c r="V577" i="80"/>
  <c r="V545" i="80"/>
  <c r="I544" i="80"/>
  <c r="L326" i="80"/>
  <c r="V413" i="80"/>
  <c r="G275" i="80"/>
  <c r="V122" i="80"/>
  <c r="I121" i="80"/>
  <c r="U296" i="80"/>
  <c r="I267" i="80"/>
  <c r="V271" i="80"/>
  <c r="U48" i="80"/>
  <c r="V141" i="80"/>
  <c r="I140" i="80"/>
  <c r="U30" i="80"/>
  <c r="U29" i="80"/>
  <c r="U59" i="80"/>
  <c r="M276" i="80"/>
  <c r="M275" i="80" s="1"/>
  <c r="U277" i="80"/>
  <c r="V256" i="80"/>
  <c r="I255" i="80"/>
  <c r="V255" i="80" s="1"/>
  <c r="K21" i="80"/>
  <c r="U22" i="80"/>
  <c r="J159" i="80" l="1"/>
  <c r="U619" i="80"/>
  <c r="S159" i="80"/>
  <c r="H264" i="80"/>
  <c r="V458" i="80"/>
  <c r="V47" i="80"/>
  <c r="G502" i="80"/>
  <c r="U502" i="80" s="1"/>
  <c r="V688" i="80"/>
  <c r="G120" i="80"/>
  <c r="U120" i="80" s="1"/>
  <c r="V459" i="80"/>
  <c r="U66" i="80"/>
  <c r="Q319" i="80"/>
  <c r="Q12" i="80" s="1"/>
  <c r="O159" i="80"/>
  <c r="U610" i="80"/>
  <c r="U688" i="80"/>
  <c r="V385" i="80"/>
  <c r="M26" i="80"/>
  <c r="U176" i="80"/>
  <c r="R159" i="80"/>
  <c r="U175" i="80"/>
  <c r="H159" i="80"/>
  <c r="U177" i="80"/>
  <c r="U544" i="80"/>
  <c r="R319" i="80"/>
  <c r="K319" i="80"/>
  <c r="S319" i="80"/>
  <c r="V419" i="80"/>
  <c r="J319" i="80"/>
  <c r="V481" i="80"/>
  <c r="T319" i="80"/>
  <c r="T12" i="80" s="1"/>
  <c r="O319" i="80"/>
  <c r="K159" i="80"/>
  <c r="V299" i="80"/>
  <c r="H319" i="80"/>
  <c r="G732" i="80"/>
  <c r="U733" i="80"/>
  <c r="V203" i="80"/>
  <c r="N194" i="80"/>
  <c r="V194" i="80" s="1"/>
  <c r="N326" i="80"/>
  <c r="V326" i="80" s="1"/>
  <c r="G366" i="80"/>
  <c r="U377" i="80"/>
  <c r="U419" i="80"/>
  <c r="G418" i="80"/>
  <c r="U418" i="80" s="1"/>
  <c r="G655" i="80"/>
  <c r="V420" i="80"/>
  <c r="G265" i="80"/>
  <c r="V332" i="80"/>
  <c r="L160" i="80"/>
  <c r="M229" i="80"/>
  <c r="U230" i="80"/>
  <c r="V524" i="80"/>
  <c r="I523" i="80"/>
  <c r="U657" i="80"/>
  <c r="M656" i="80"/>
  <c r="M655" i="80" s="1"/>
  <c r="I45" i="80"/>
  <c r="U224" i="80"/>
  <c r="M223" i="80"/>
  <c r="U223" i="80" s="1"/>
  <c r="V452" i="80"/>
  <c r="N451" i="80"/>
  <c r="U109" i="80"/>
  <c r="G94" i="80"/>
  <c r="V66" i="80"/>
  <c r="P46" i="80"/>
  <c r="V190" i="80"/>
  <c r="L189" i="80"/>
  <c r="V189" i="80" s="1"/>
  <c r="U209" i="80"/>
  <c r="G208" i="80"/>
  <c r="U171" i="80"/>
  <c r="G170" i="80"/>
  <c r="U170" i="80" s="1"/>
  <c r="U214" i="80"/>
  <c r="M213" i="80"/>
  <c r="U213" i="80" s="1"/>
  <c r="U16" i="80"/>
  <c r="M15" i="80"/>
  <c r="U571" i="80"/>
  <c r="M570" i="80"/>
  <c r="M643" i="80"/>
  <c r="U644" i="80"/>
  <c r="U139" i="80"/>
  <c r="G138" i="80"/>
  <c r="U138" i="80" s="1"/>
  <c r="U219" i="80"/>
  <c r="G218" i="80"/>
  <c r="U218" i="80" s="1"/>
  <c r="V175" i="80"/>
  <c r="N160" i="80"/>
  <c r="U161" i="80"/>
  <c r="G160" i="80"/>
  <c r="U160" i="80" s="1"/>
  <c r="P319" i="80"/>
  <c r="G46" i="80"/>
  <c r="G45" i="80" s="1"/>
  <c r="I238" i="80"/>
  <c r="I237" i="80" s="1"/>
  <c r="U199" i="80"/>
  <c r="G194" i="80"/>
  <c r="U194" i="80" s="1"/>
  <c r="U315" i="80"/>
  <c r="M314" i="80"/>
  <c r="V114" i="80"/>
  <c r="L113" i="80"/>
  <c r="V429" i="80"/>
  <c r="N428" i="80"/>
  <c r="V315" i="80"/>
  <c r="N314" i="80"/>
  <c r="U452" i="80"/>
  <c r="G451" i="80"/>
  <c r="U451" i="80" s="1"/>
  <c r="V480" i="80"/>
  <c r="I457" i="80"/>
  <c r="V140" i="80"/>
  <c r="I139" i="80"/>
  <c r="V121" i="80"/>
  <c r="I120" i="80"/>
  <c r="V120" i="80" s="1"/>
  <c r="M266" i="80"/>
  <c r="U267" i="80"/>
  <c r="V276" i="80"/>
  <c r="I275" i="80"/>
  <c r="V275" i="80" s="1"/>
  <c r="L138" i="80"/>
  <c r="V145" i="80"/>
  <c r="U609" i="80"/>
  <c r="G608" i="80"/>
  <c r="L228" i="80"/>
  <c r="V229" i="80"/>
  <c r="U275" i="80"/>
  <c r="I563" i="80"/>
  <c r="V575" i="80"/>
  <c r="G286" i="80"/>
  <c r="U286" i="80" s="1"/>
  <c r="U287" i="80"/>
  <c r="V298" i="80"/>
  <c r="L293" i="80"/>
  <c r="U21" i="80"/>
  <c r="K13" i="80"/>
  <c r="V267" i="80"/>
  <c r="I266" i="80"/>
  <c r="V544" i="80"/>
  <c r="U601" i="80"/>
  <c r="G600" i="80"/>
  <c r="U255" i="80"/>
  <c r="G238" i="80"/>
  <c r="V601" i="80"/>
  <c r="L600" i="80"/>
  <c r="V28" i="80"/>
  <c r="I27" i="80"/>
  <c r="V570" i="80"/>
  <c r="N563" i="80"/>
  <c r="M293" i="80"/>
  <c r="U293" i="80" s="1"/>
  <c r="U294" i="80"/>
  <c r="L366" i="80"/>
  <c r="V366" i="80" s="1"/>
  <c r="V377" i="80"/>
  <c r="V565" i="80"/>
  <c r="L564" i="80"/>
  <c r="V306" i="80"/>
  <c r="L305" i="80"/>
  <c r="V610" i="80"/>
  <c r="I609" i="80"/>
  <c r="U480" i="80"/>
  <c r="G457" i="80"/>
  <c r="U276" i="80"/>
  <c r="V656" i="80"/>
  <c r="I655" i="80"/>
  <c r="V294" i="80"/>
  <c r="I293" i="80"/>
  <c r="V293" i="80" s="1"/>
  <c r="G523" i="80"/>
  <c r="U524" i="80"/>
  <c r="J12" i="80" l="1"/>
  <c r="O12" i="80"/>
  <c r="S12" i="80"/>
  <c r="R12" i="80"/>
  <c r="H12" i="80"/>
  <c r="V238" i="80"/>
  <c r="K12" i="80"/>
  <c r="U46" i="80"/>
  <c r="N320" i="80"/>
  <c r="G731" i="80"/>
  <c r="U731" i="80" s="1"/>
  <c r="U732" i="80"/>
  <c r="V428" i="80"/>
  <c r="N418" i="80"/>
  <c r="V418" i="80" s="1"/>
  <c r="U314" i="80"/>
  <c r="M313" i="80"/>
  <c r="M637" i="80"/>
  <c r="U643" i="80"/>
  <c r="M14" i="80"/>
  <c r="U15" i="80"/>
  <c r="G93" i="80"/>
  <c r="U93" i="80" s="1"/>
  <c r="U94" i="80"/>
  <c r="U229" i="80"/>
  <c r="M228" i="80"/>
  <c r="M159" i="80" s="1"/>
  <c r="L320" i="80"/>
  <c r="N159" i="80"/>
  <c r="U570" i="80"/>
  <c r="M563" i="80"/>
  <c r="V523" i="80"/>
  <c r="I522" i="80"/>
  <c r="V160" i="80"/>
  <c r="U655" i="80"/>
  <c r="G637" i="80"/>
  <c r="U637" i="80" s="1"/>
  <c r="L159" i="80"/>
  <c r="V314" i="80"/>
  <c r="N313" i="80"/>
  <c r="V113" i="80"/>
  <c r="L26" i="80"/>
  <c r="L13" i="80" s="1"/>
  <c r="U208" i="80"/>
  <c r="G207" i="80"/>
  <c r="U207" i="80" s="1"/>
  <c r="P45" i="80"/>
  <c r="P26" i="80" s="1"/>
  <c r="P13" i="80" s="1"/>
  <c r="P12" i="80" s="1"/>
  <c r="V46" i="80"/>
  <c r="V451" i="80"/>
  <c r="N433" i="80"/>
  <c r="U656" i="80"/>
  <c r="U366" i="80"/>
  <c r="G320" i="80"/>
  <c r="U320" i="80" s="1"/>
  <c r="G522" i="80"/>
  <c r="U523" i="80"/>
  <c r="V139" i="80"/>
  <c r="I138" i="80"/>
  <c r="V138" i="80" s="1"/>
  <c r="V457" i="80"/>
  <c r="I433" i="80"/>
  <c r="V609" i="80"/>
  <c r="I608" i="80"/>
  <c r="V600" i="80"/>
  <c r="L584" i="80"/>
  <c r="V584" i="80" s="1"/>
  <c r="U600" i="80"/>
  <c r="G584" i="80"/>
  <c r="U584" i="80" s="1"/>
  <c r="V266" i="80"/>
  <c r="I265" i="80"/>
  <c r="L264" i="80"/>
  <c r="M265" i="80"/>
  <c r="U266" i="80"/>
  <c r="G433" i="80"/>
  <c r="U457" i="80"/>
  <c r="V564" i="80"/>
  <c r="L563" i="80"/>
  <c r="V563" i="80" s="1"/>
  <c r="V27" i="80"/>
  <c r="I26" i="80"/>
  <c r="G237" i="80"/>
  <c r="U238" i="80"/>
  <c r="V237" i="80"/>
  <c r="I228" i="80"/>
  <c r="V655" i="80"/>
  <c r="I637" i="80"/>
  <c r="V637" i="80" s="1"/>
  <c r="U608" i="80"/>
  <c r="G607" i="80"/>
  <c r="U607" i="80" s="1"/>
  <c r="U45" i="80"/>
  <c r="G264" i="80"/>
  <c r="V320" i="80" l="1"/>
  <c r="N319" i="80"/>
  <c r="V45" i="80"/>
  <c r="G26" i="80"/>
  <c r="U26" i="80" s="1"/>
  <c r="L319" i="80"/>
  <c r="L12" i="80" s="1"/>
  <c r="U563" i="80"/>
  <c r="M319" i="80"/>
  <c r="U313" i="80"/>
  <c r="M305" i="80"/>
  <c r="U305" i="80" s="1"/>
  <c r="V313" i="80"/>
  <c r="N305" i="80"/>
  <c r="V305" i="80" s="1"/>
  <c r="U14" i="80"/>
  <c r="M13" i="80"/>
  <c r="V522" i="80"/>
  <c r="I517" i="80"/>
  <c r="V517" i="80" s="1"/>
  <c r="V265" i="80"/>
  <c r="I264" i="80"/>
  <c r="V433" i="80"/>
  <c r="G228" i="80"/>
  <c r="U237" i="80"/>
  <c r="U265" i="80"/>
  <c r="I159" i="80"/>
  <c r="V159" i="80" s="1"/>
  <c r="V228" i="80"/>
  <c r="V26" i="80"/>
  <c r="I13" i="80"/>
  <c r="V608" i="80"/>
  <c r="I607" i="80"/>
  <c r="V607" i="80" s="1"/>
  <c r="G13" i="80"/>
  <c r="U433" i="80"/>
  <c r="U522" i="80"/>
  <c r="G517" i="80"/>
  <c r="U517" i="80" s="1"/>
  <c r="M264" i="80" l="1"/>
  <c r="M12" i="80" s="1"/>
  <c r="G319" i="80"/>
  <c r="U319" i="80" s="1"/>
  <c r="N264" i="80"/>
  <c r="N12" i="80" s="1"/>
  <c r="U13" i="80"/>
  <c r="I319" i="80"/>
  <c r="V319" i="80" s="1"/>
  <c r="V13" i="80"/>
  <c r="U228" i="80"/>
  <c r="G159" i="80"/>
  <c r="U159" i="80" s="1"/>
  <c r="U264" i="80" l="1"/>
  <c r="V264" i="80"/>
  <c r="I12" i="80"/>
  <c r="V12" i="80" s="1"/>
  <c r="G12" i="80"/>
  <c r="U12" i="80" s="1"/>
  <c r="I58" i="74" l="1"/>
  <c r="I59" i="74"/>
  <c r="J445" i="74" l="1"/>
  <c r="S228" i="74" l="1"/>
  <c r="D155" i="76" s="1"/>
  <c r="S229" i="74"/>
  <c r="D156" i="76" s="1"/>
  <c r="H227" i="74"/>
  <c r="I227" i="74"/>
  <c r="J227" i="74"/>
  <c r="K227" i="74"/>
  <c r="L227" i="74"/>
  <c r="M227" i="74"/>
  <c r="N227" i="74"/>
  <c r="O227" i="74"/>
  <c r="P227" i="74"/>
  <c r="Q227" i="74"/>
  <c r="R227" i="74"/>
  <c r="G227" i="74"/>
  <c r="J640" i="74"/>
  <c r="J442" i="74"/>
  <c r="J299" i="74"/>
  <c r="D154" i="76" l="1"/>
  <c r="S227" i="74"/>
  <c r="H39" i="97" l="1"/>
  <c r="D21" i="91" l="1"/>
  <c r="D20" i="91"/>
  <c r="D18" i="91"/>
  <c r="D16" i="91"/>
  <c r="D14" i="91"/>
  <c r="D13" i="91"/>
  <c r="D12" i="91"/>
  <c r="D11" i="91"/>
  <c r="D9" i="91"/>
  <c r="E19" i="91"/>
  <c r="D19" i="91" s="1"/>
  <c r="E10" i="91"/>
  <c r="D10" i="91" s="1"/>
  <c r="K75" i="74" l="1"/>
  <c r="J443" i="74" l="1"/>
  <c r="J827" i="74"/>
  <c r="K107" i="74"/>
  <c r="K139" i="74"/>
  <c r="S646" i="74"/>
  <c r="S643" i="74"/>
  <c r="H644" i="74"/>
  <c r="I644" i="74"/>
  <c r="J644" i="74"/>
  <c r="K644" i="74"/>
  <c r="L644" i="74"/>
  <c r="M644" i="74"/>
  <c r="N644" i="74"/>
  <c r="O644" i="74"/>
  <c r="P644" i="74"/>
  <c r="Q644" i="74"/>
  <c r="R644" i="74"/>
  <c r="G644" i="74"/>
  <c r="H641" i="74"/>
  <c r="I641" i="74"/>
  <c r="J641" i="74"/>
  <c r="K641" i="74"/>
  <c r="L641" i="74"/>
  <c r="M641" i="74"/>
  <c r="N641" i="74"/>
  <c r="O641" i="74"/>
  <c r="P641" i="74"/>
  <c r="Q641" i="74"/>
  <c r="R641" i="74"/>
  <c r="G641" i="74"/>
  <c r="H138" i="74" l="1"/>
  <c r="I138" i="74"/>
  <c r="J138" i="74"/>
  <c r="K138" i="74"/>
  <c r="L138" i="74"/>
  <c r="M138" i="74"/>
  <c r="N138" i="74"/>
  <c r="O138" i="74"/>
  <c r="P138" i="74"/>
  <c r="Q138" i="74"/>
  <c r="R138" i="74"/>
  <c r="H136" i="74"/>
  <c r="H135" i="74" s="1"/>
  <c r="I136" i="74"/>
  <c r="I135" i="74" s="1"/>
  <c r="J136" i="74"/>
  <c r="J135" i="74" s="1"/>
  <c r="K136" i="74"/>
  <c r="K135" i="74" s="1"/>
  <c r="L136" i="74"/>
  <c r="L135" i="74" s="1"/>
  <c r="M136" i="74"/>
  <c r="M135" i="74" s="1"/>
  <c r="N136" i="74"/>
  <c r="N135" i="74" s="1"/>
  <c r="O136" i="74"/>
  <c r="O135" i="74" s="1"/>
  <c r="P136" i="74"/>
  <c r="P135" i="74" s="1"/>
  <c r="Q136" i="74"/>
  <c r="Q135" i="74" s="1"/>
  <c r="R136" i="74"/>
  <c r="R135" i="74" s="1"/>
  <c r="S139" i="74"/>
  <c r="G138" i="74"/>
  <c r="S137" i="74"/>
  <c r="G136" i="74"/>
  <c r="G135" i="74" s="1"/>
  <c r="S201" i="74"/>
  <c r="H200" i="74"/>
  <c r="I200" i="74"/>
  <c r="J200" i="74"/>
  <c r="K200" i="74"/>
  <c r="L200" i="74"/>
  <c r="M200" i="74"/>
  <c r="N200" i="74"/>
  <c r="O200" i="74"/>
  <c r="P200" i="74"/>
  <c r="Q200" i="74"/>
  <c r="R200" i="74"/>
  <c r="G200" i="74"/>
  <c r="S138" i="74" l="1"/>
  <c r="S136" i="74"/>
  <c r="S135" i="74"/>
  <c r="J210" i="98"/>
  <c r="G210" i="98"/>
  <c r="I210" i="98" s="1"/>
  <c r="J206" i="98"/>
  <c r="L206" i="98" s="1"/>
  <c r="G206" i="98"/>
  <c r="I206" i="98" s="1"/>
  <c r="J204" i="98"/>
  <c r="L204" i="98" s="1"/>
  <c r="G204" i="98"/>
  <c r="I204" i="98" s="1"/>
  <c r="J202" i="98"/>
  <c r="L202" i="98" s="1"/>
  <c r="G202" i="98"/>
  <c r="I202" i="98" s="1"/>
  <c r="J198" i="98"/>
  <c r="G198" i="98"/>
  <c r="I198" i="98" s="1"/>
  <c r="J192" i="98"/>
  <c r="L192" i="98" s="1"/>
  <c r="G192" i="98"/>
  <c r="J191" i="98"/>
  <c r="L191" i="98" s="1"/>
  <c r="J188" i="98"/>
  <c r="L188" i="98" s="1"/>
  <c r="G188" i="98"/>
  <c r="I188" i="98" s="1"/>
  <c r="J186" i="98"/>
  <c r="L186" i="98" s="1"/>
  <c r="G186" i="98"/>
  <c r="I186" i="98" s="1"/>
  <c r="J184" i="98"/>
  <c r="L184" i="98" s="1"/>
  <c r="G184" i="98"/>
  <c r="I184" i="98" s="1"/>
  <c r="J182" i="98"/>
  <c r="L182" i="98" s="1"/>
  <c r="G182" i="98"/>
  <c r="I182" i="98" s="1"/>
  <c r="J180" i="98"/>
  <c r="L180" i="98" s="1"/>
  <c r="G180" i="98"/>
  <c r="I180" i="98" s="1"/>
  <c r="J178" i="98"/>
  <c r="L178" i="98" s="1"/>
  <c r="G178" i="98"/>
  <c r="I178" i="98" s="1"/>
  <c r="J176" i="98"/>
  <c r="L176" i="98" s="1"/>
  <c r="G176" i="98"/>
  <c r="I176" i="98" s="1"/>
  <c r="J174" i="98"/>
  <c r="L174" i="98" s="1"/>
  <c r="G174" i="98"/>
  <c r="I174" i="98" s="1"/>
  <c r="J160" i="98"/>
  <c r="L160" i="98" s="1"/>
  <c r="G160" i="98"/>
  <c r="I160" i="98" s="1"/>
  <c r="J159" i="98"/>
  <c r="L159" i="98" s="1"/>
  <c r="G159" i="98"/>
  <c r="I159" i="98" s="1"/>
  <c r="J158" i="98"/>
  <c r="L158" i="98" s="1"/>
  <c r="G158" i="98"/>
  <c r="I158" i="98" s="1"/>
  <c r="J157" i="98"/>
  <c r="L157" i="98" s="1"/>
  <c r="G157" i="98"/>
  <c r="I157" i="98" s="1"/>
  <c r="J149" i="98"/>
  <c r="L149" i="98" s="1"/>
  <c r="G149" i="98"/>
  <c r="I149" i="98" s="1"/>
  <c r="J148" i="98"/>
  <c r="L148" i="98" s="1"/>
  <c r="G148" i="98"/>
  <c r="I148" i="98" s="1"/>
  <c r="J147" i="98"/>
  <c r="L147" i="98" s="1"/>
  <c r="G147" i="98"/>
  <c r="I147" i="98" s="1"/>
  <c r="J146" i="98"/>
  <c r="L146" i="98" s="1"/>
  <c r="G146" i="98"/>
  <c r="I146" i="98" s="1"/>
  <c r="J144" i="98"/>
  <c r="L144" i="98" s="1"/>
  <c r="G144" i="98"/>
  <c r="I144" i="98" s="1"/>
  <c r="J142" i="98"/>
  <c r="L142" i="98" s="1"/>
  <c r="G142" i="98"/>
  <c r="I142" i="98" s="1"/>
  <c r="J141" i="98"/>
  <c r="L141" i="98" s="1"/>
  <c r="G141" i="98"/>
  <c r="J139" i="98"/>
  <c r="G139" i="98"/>
  <c r="J136" i="98"/>
  <c r="L136" i="98" s="1"/>
  <c r="G136" i="98"/>
  <c r="I136" i="98" s="1"/>
  <c r="J134" i="98"/>
  <c r="L134" i="98" s="1"/>
  <c r="G134" i="98"/>
  <c r="I134" i="98" s="1"/>
  <c r="J132" i="98"/>
  <c r="L132" i="98" s="1"/>
  <c r="G132" i="98"/>
  <c r="I132" i="98" s="1"/>
  <c r="J130" i="98"/>
  <c r="L130" i="98" s="1"/>
  <c r="G130" i="98"/>
  <c r="I130" i="98" s="1"/>
  <c r="J128" i="98"/>
  <c r="L128" i="98" s="1"/>
  <c r="G128" i="98"/>
  <c r="I128" i="98" s="1"/>
  <c r="J126" i="98"/>
  <c r="L126" i="98" s="1"/>
  <c r="G126" i="98"/>
  <c r="I126" i="98" s="1"/>
  <c r="J123" i="98"/>
  <c r="G123" i="98"/>
  <c r="J118" i="98"/>
  <c r="G118" i="98"/>
  <c r="J115" i="98"/>
  <c r="L115" i="98" s="1"/>
  <c r="G115" i="98"/>
  <c r="I115" i="98" s="1"/>
  <c r="J111" i="98"/>
  <c r="L111" i="98" s="1"/>
  <c r="G111" i="98"/>
  <c r="I111" i="98" s="1"/>
  <c r="J109" i="98"/>
  <c r="L109" i="98" s="1"/>
  <c r="G109" i="98"/>
  <c r="I109" i="98" s="1"/>
  <c r="J107" i="98"/>
  <c r="L107" i="98" s="1"/>
  <c r="G107" i="98"/>
  <c r="I107" i="98" s="1"/>
  <c r="J105" i="98"/>
  <c r="L105" i="98" s="1"/>
  <c r="G105" i="98"/>
  <c r="I105" i="98" s="1"/>
  <c r="J101" i="98"/>
  <c r="L101" i="98" s="1"/>
  <c r="G101" i="98"/>
  <c r="I101" i="98" s="1"/>
  <c r="J95" i="98"/>
  <c r="L95" i="98" s="1"/>
  <c r="G95" i="98"/>
  <c r="I95" i="98" s="1"/>
  <c r="J91" i="98"/>
  <c r="G91" i="98"/>
  <c r="J85" i="98"/>
  <c r="G85" i="98"/>
  <c r="J78" i="98"/>
  <c r="L78" i="98" s="1"/>
  <c r="G78" i="98"/>
  <c r="I78" i="98" s="1"/>
  <c r="J77" i="98"/>
  <c r="L77" i="98" s="1"/>
  <c r="G77" i="98"/>
  <c r="I77" i="98" s="1"/>
  <c r="J73" i="98"/>
  <c r="G73" i="98"/>
  <c r="J66" i="98"/>
  <c r="G66" i="98"/>
  <c r="J62" i="98"/>
  <c r="L62" i="98" s="1"/>
  <c r="G62" i="98"/>
  <c r="I62" i="98" s="1"/>
  <c r="J59" i="98"/>
  <c r="L59" i="98" s="1"/>
  <c r="G59" i="98"/>
  <c r="I59" i="98" s="1"/>
  <c r="J56" i="98"/>
  <c r="L56" i="98" s="1"/>
  <c r="G56" i="98"/>
  <c r="I56" i="98" s="1"/>
  <c r="J50" i="98"/>
  <c r="L50" i="98" s="1"/>
  <c r="G50" i="98"/>
  <c r="I50" i="98" s="1"/>
  <c r="J46" i="98"/>
  <c r="G46" i="98"/>
  <c r="J43" i="98"/>
  <c r="G43" i="98"/>
  <c r="J40" i="98"/>
  <c r="L40" i="98" s="1"/>
  <c r="G40" i="98"/>
  <c r="I40" i="98" s="1"/>
  <c r="J38" i="98"/>
  <c r="L38" i="98" s="1"/>
  <c r="G38" i="98"/>
  <c r="I38" i="98" s="1"/>
  <c r="J36" i="98"/>
  <c r="L36" i="98" s="1"/>
  <c r="G36" i="98"/>
  <c r="I36" i="98" s="1"/>
  <c r="J34" i="98"/>
  <c r="L34" i="98" s="1"/>
  <c r="G34" i="98"/>
  <c r="I34" i="98" s="1"/>
  <c r="J29" i="98"/>
  <c r="L29" i="98" s="1"/>
  <c r="G29" i="98"/>
  <c r="I29" i="98" s="1"/>
  <c r="J26" i="98"/>
  <c r="L26" i="98" s="1"/>
  <c r="G26" i="98"/>
  <c r="I26" i="98" s="1"/>
  <c r="J23" i="98"/>
  <c r="L23" i="98" s="1"/>
  <c r="G23" i="98"/>
  <c r="I23" i="98" s="1"/>
  <c r="J20" i="98"/>
  <c r="L20" i="98" s="1"/>
  <c r="G20" i="98"/>
  <c r="I20" i="98" s="1"/>
  <c r="J13" i="98"/>
  <c r="G13" i="98"/>
  <c r="O272" i="97"/>
  <c r="J264" i="97"/>
  <c r="G271" i="97"/>
  <c r="G268" i="97" s="1"/>
  <c r="O270" i="97"/>
  <c r="N269" i="97"/>
  <c r="H269" i="97"/>
  <c r="O263" i="97"/>
  <c r="O262" i="97"/>
  <c r="O261" i="97"/>
  <c r="O260" i="97"/>
  <c r="J260" i="97"/>
  <c r="O258" i="97"/>
  <c r="O257" i="97" s="1"/>
  <c r="N258" i="97"/>
  <c r="N257" i="97" s="1"/>
  <c r="M258" i="97"/>
  <c r="M257" i="97" s="1"/>
  <c r="L258" i="97"/>
  <c r="L257" i="97" s="1"/>
  <c r="K257" i="97"/>
  <c r="I258" i="97"/>
  <c r="I257" i="97" s="1"/>
  <c r="H258" i="97"/>
  <c r="H257" i="97" s="1"/>
  <c r="G258" i="97"/>
  <c r="G257" i="97" s="1"/>
  <c r="O251" i="97"/>
  <c r="O250" i="97"/>
  <c r="O249" i="97"/>
  <c r="O248" i="97"/>
  <c r="G247" i="97"/>
  <c r="O247" i="97" s="1"/>
  <c r="O246" i="97"/>
  <c r="G245" i="97"/>
  <c r="H243" i="97"/>
  <c r="H241" i="97" s="1"/>
  <c r="O242" i="97"/>
  <c r="N241" i="97"/>
  <c r="M241" i="97"/>
  <c r="K241" i="97"/>
  <c r="I241" i="97"/>
  <c r="O240" i="97"/>
  <c r="O239" i="97" s="1"/>
  <c r="G239" i="97"/>
  <c r="O238" i="97"/>
  <c r="O237" i="97" s="1"/>
  <c r="N237" i="97"/>
  <c r="M237" i="97"/>
  <c r="L237" i="97"/>
  <c r="K237" i="97"/>
  <c r="J237" i="97"/>
  <c r="I237" i="97"/>
  <c r="H237" i="97"/>
  <c r="G237" i="97"/>
  <c r="O236" i="97"/>
  <c r="O235" i="97" s="1"/>
  <c r="N235" i="97"/>
  <c r="M235" i="97"/>
  <c r="L235" i="97"/>
  <c r="K235" i="97"/>
  <c r="J235" i="97"/>
  <c r="I235" i="97"/>
  <c r="H235" i="97"/>
  <c r="G235" i="97"/>
  <c r="G234" i="97"/>
  <c r="G231" i="97" s="1"/>
  <c r="O233" i="97"/>
  <c r="O232" i="97"/>
  <c r="N231" i="97"/>
  <c r="M231" i="97"/>
  <c r="L231" i="97"/>
  <c r="K231" i="97"/>
  <c r="I231" i="97"/>
  <c r="H231" i="97"/>
  <c r="O229" i="97"/>
  <c r="O225" i="97" s="1"/>
  <c r="O228" i="97"/>
  <c r="O227" i="97"/>
  <c r="O226" i="97"/>
  <c r="N225" i="97"/>
  <c r="M225" i="97"/>
  <c r="L225" i="97"/>
  <c r="K225" i="97"/>
  <c r="J225" i="97"/>
  <c r="I225" i="97"/>
  <c r="H225" i="97"/>
  <c r="G225" i="97"/>
  <c r="N224" i="97"/>
  <c r="N223" i="97" s="1"/>
  <c r="M224" i="97"/>
  <c r="M223" i="97" s="1"/>
  <c r="L224" i="97"/>
  <c r="K224" i="97"/>
  <c r="J224" i="97"/>
  <c r="J223" i="97" s="1"/>
  <c r="I224" i="97"/>
  <c r="I223" i="97" s="1"/>
  <c r="H224" i="97"/>
  <c r="G224" i="97"/>
  <c r="G223" i="97" s="1"/>
  <c r="O222" i="97"/>
  <c r="O221" i="97" s="1"/>
  <c r="N221" i="97"/>
  <c r="M221" i="97"/>
  <c r="L221" i="97"/>
  <c r="K221" i="97"/>
  <c r="J221" i="97"/>
  <c r="I221" i="97"/>
  <c r="H221" i="97"/>
  <c r="G221" i="97"/>
  <c r="O220" i="97"/>
  <c r="O219" i="97" s="1"/>
  <c r="N219" i="97"/>
  <c r="M219" i="97"/>
  <c r="L219" i="97"/>
  <c r="K219" i="97"/>
  <c r="J219" i="97"/>
  <c r="I219" i="97"/>
  <c r="H219" i="97"/>
  <c r="G219" i="97"/>
  <c r="O218" i="97"/>
  <c r="O217" i="97" s="1"/>
  <c r="N217" i="97"/>
  <c r="M217" i="97"/>
  <c r="L217" i="97"/>
  <c r="K217" i="97"/>
  <c r="J217" i="97"/>
  <c r="H217" i="97"/>
  <c r="G217" i="97"/>
  <c r="O216" i="97"/>
  <c r="O215" i="97" s="1"/>
  <c r="N215" i="97"/>
  <c r="M215" i="97"/>
  <c r="L215" i="97"/>
  <c r="K215" i="97"/>
  <c r="J215" i="97"/>
  <c r="H215" i="97"/>
  <c r="G215" i="97"/>
  <c r="O214" i="97"/>
  <c r="O213" i="97" s="1"/>
  <c r="N213" i="97"/>
  <c r="M213" i="97"/>
  <c r="L213" i="97"/>
  <c r="K213" i="97"/>
  <c r="J213" i="97"/>
  <c r="I213" i="97"/>
  <c r="H213" i="97"/>
  <c r="G213" i="97"/>
  <c r="O212" i="97"/>
  <c r="O211" i="97" s="1"/>
  <c r="N211" i="97"/>
  <c r="M211" i="97"/>
  <c r="L211" i="97"/>
  <c r="K211" i="97"/>
  <c r="J211" i="97"/>
  <c r="I211" i="97"/>
  <c r="H211" i="97"/>
  <c r="G211" i="97"/>
  <c r="O210" i="97"/>
  <c r="O209" i="97" s="1"/>
  <c r="N209" i="97"/>
  <c r="M209" i="97"/>
  <c r="L209" i="97"/>
  <c r="K209" i="97"/>
  <c r="J209" i="97"/>
  <c r="I209" i="97"/>
  <c r="H209" i="97"/>
  <c r="G209" i="97"/>
  <c r="O208" i="97"/>
  <c r="O207" i="97" s="1"/>
  <c r="N207" i="97"/>
  <c r="M207" i="97"/>
  <c r="L207" i="97"/>
  <c r="K207" i="97"/>
  <c r="J207" i="97"/>
  <c r="I207" i="97"/>
  <c r="H207" i="97"/>
  <c r="G207" i="97"/>
  <c r="O206" i="97"/>
  <c r="O205" i="97"/>
  <c r="O204" i="97"/>
  <c r="O203" i="97"/>
  <c r="O202" i="97"/>
  <c r="O201" i="97"/>
  <c r="O200" i="97"/>
  <c r="O199" i="97"/>
  <c r="O198" i="97"/>
  <c r="O197" i="97"/>
  <c r="O196" i="97"/>
  <c r="O192" i="97" s="1"/>
  <c r="O195" i="97"/>
  <c r="O194" i="97"/>
  <c r="L193" i="97"/>
  <c r="K193" i="97"/>
  <c r="J193" i="97"/>
  <c r="H193" i="97"/>
  <c r="G193" i="97"/>
  <c r="L192" i="97"/>
  <c r="K192" i="97"/>
  <c r="J192" i="97"/>
  <c r="H192" i="97"/>
  <c r="G192" i="97"/>
  <c r="N191" i="97"/>
  <c r="M191" i="97"/>
  <c r="L191" i="97"/>
  <c r="K191" i="97"/>
  <c r="J191" i="97"/>
  <c r="I191" i="97"/>
  <c r="H191" i="97"/>
  <c r="G191" i="97"/>
  <c r="N190" i="97"/>
  <c r="M190" i="97"/>
  <c r="L190" i="97"/>
  <c r="K190" i="97"/>
  <c r="J190" i="97"/>
  <c r="I190" i="97"/>
  <c r="H190" i="97"/>
  <c r="G190" i="97"/>
  <c r="O188" i="97"/>
  <c r="O185" i="97"/>
  <c r="O184" i="97"/>
  <c r="O183" i="97"/>
  <c r="O177" i="97"/>
  <c r="O176" i="97"/>
  <c r="O175" i="97"/>
  <c r="O174" i="97"/>
  <c r="O173" i="97"/>
  <c r="O172" i="97"/>
  <c r="O171" i="97"/>
  <c r="O170" i="97"/>
  <c r="O169" i="97"/>
  <c r="O168" i="97"/>
  <c r="O167" i="97"/>
  <c r="N166" i="97"/>
  <c r="M166" i="97"/>
  <c r="L166" i="97"/>
  <c r="K166" i="97"/>
  <c r="J166" i="97"/>
  <c r="I166" i="97"/>
  <c r="H166" i="97"/>
  <c r="N165" i="97"/>
  <c r="M165" i="97"/>
  <c r="L165" i="97"/>
  <c r="G165" i="97"/>
  <c r="N164" i="97"/>
  <c r="M164" i="97"/>
  <c r="L164" i="97"/>
  <c r="K164" i="97"/>
  <c r="J164" i="97"/>
  <c r="I164" i="97"/>
  <c r="H164" i="97"/>
  <c r="G164" i="97"/>
  <c r="N163" i="97"/>
  <c r="M163" i="97"/>
  <c r="L163" i="97"/>
  <c r="G163" i="97"/>
  <c r="N162" i="97"/>
  <c r="M162" i="97"/>
  <c r="L162" i="97"/>
  <c r="K162" i="97"/>
  <c r="G162" i="97"/>
  <c r="O161" i="97"/>
  <c r="O160" i="97" s="1"/>
  <c r="N160" i="97"/>
  <c r="M160" i="97"/>
  <c r="L160" i="97"/>
  <c r="K160" i="97"/>
  <c r="J160" i="97"/>
  <c r="I160" i="97"/>
  <c r="H160" i="97"/>
  <c r="G160" i="97"/>
  <c r="O159" i="97"/>
  <c r="O158" i="97" s="1"/>
  <c r="N158" i="97"/>
  <c r="M158" i="97"/>
  <c r="L158" i="97"/>
  <c r="K158" i="97"/>
  <c r="J158" i="97"/>
  <c r="I158" i="97"/>
  <c r="H158" i="97"/>
  <c r="G158" i="97"/>
  <c r="G157" i="97"/>
  <c r="O157" i="97" s="1"/>
  <c r="O156" i="97" s="1"/>
  <c r="N156" i="97"/>
  <c r="M156" i="97"/>
  <c r="L156" i="97"/>
  <c r="J156" i="97"/>
  <c r="I156" i="97"/>
  <c r="H156" i="97"/>
  <c r="O155" i="97"/>
  <c r="O154" i="97" s="1"/>
  <c r="N154" i="97"/>
  <c r="M154" i="97"/>
  <c r="L154" i="97"/>
  <c r="K154" i="97"/>
  <c r="J154" i="97"/>
  <c r="I154" i="97"/>
  <c r="H154" i="97"/>
  <c r="G154" i="97"/>
  <c r="O153" i="97"/>
  <c r="O152" i="97" s="1"/>
  <c r="N152" i="97"/>
  <c r="M152" i="97"/>
  <c r="L152" i="97"/>
  <c r="K152" i="97"/>
  <c r="J152" i="97"/>
  <c r="I152" i="97"/>
  <c r="H152" i="97"/>
  <c r="G152" i="97"/>
  <c r="G151" i="97"/>
  <c r="O151" i="97" s="1"/>
  <c r="O150" i="97" s="1"/>
  <c r="N150" i="97"/>
  <c r="M150" i="97"/>
  <c r="L150" i="97"/>
  <c r="K150" i="97"/>
  <c r="J150" i="97"/>
  <c r="I150" i="97"/>
  <c r="H150" i="97"/>
  <c r="G150" i="97"/>
  <c r="O149" i="97"/>
  <c r="O148" i="97" s="1"/>
  <c r="G148" i="97"/>
  <c r="O147" i="97"/>
  <c r="O146" i="97" s="1"/>
  <c r="N146" i="97"/>
  <c r="M146" i="97"/>
  <c r="L146" i="97"/>
  <c r="K146" i="97"/>
  <c r="J146" i="97"/>
  <c r="I146" i="97"/>
  <c r="H146" i="97"/>
  <c r="G146" i="97"/>
  <c r="O145" i="97"/>
  <c r="O144" i="97" s="1"/>
  <c r="N144" i="97"/>
  <c r="M144" i="97"/>
  <c r="L144" i="97"/>
  <c r="K144" i="97"/>
  <c r="J144" i="97"/>
  <c r="I144" i="97"/>
  <c r="H144" i="97"/>
  <c r="G144" i="97"/>
  <c r="O143" i="97"/>
  <c r="O142" i="97" s="1"/>
  <c r="N142" i="97"/>
  <c r="M142" i="97"/>
  <c r="L142" i="97"/>
  <c r="K142" i="97"/>
  <c r="J142" i="97"/>
  <c r="I142" i="97"/>
  <c r="H142" i="97"/>
  <c r="G142" i="97"/>
  <c r="O141" i="97"/>
  <c r="O140" i="97" s="1"/>
  <c r="N140" i="97"/>
  <c r="M140" i="97"/>
  <c r="L140" i="97"/>
  <c r="K140" i="97"/>
  <c r="J140" i="97"/>
  <c r="I140" i="97"/>
  <c r="H140" i="97"/>
  <c r="G140" i="97"/>
  <c r="O139" i="97"/>
  <c r="O138" i="97" s="1"/>
  <c r="N138" i="97"/>
  <c r="M138" i="97"/>
  <c r="L138" i="97"/>
  <c r="K138" i="97"/>
  <c r="J138" i="97"/>
  <c r="I138" i="97"/>
  <c r="H138" i="97"/>
  <c r="G138" i="97"/>
  <c r="O137" i="97"/>
  <c r="O136" i="97" s="1"/>
  <c r="N136" i="97"/>
  <c r="M136" i="97"/>
  <c r="L136" i="97"/>
  <c r="K136" i="97"/>
  <c r="J136" i="97"/>
  <c r="I136" i="97"/>
  <c r="H136" i="97"/>
  <c r="G136" i="97"/>
  <c r="O135" i="97"/>
  <c r="O134" i="97" s="1"/>
  <c r="N134" i="97"/>
  <c r="M134" i="97"/>
  <c r="L134" i="97"/>
  <c r="K134" i="97"/>
  <c r="J134" i="97"/>
  <c r="I134" i="97"/>
  <c r="H134" i="97"/>
  <c r="G134" i="97"/>
  <c r="O132" i="97"/>
  <c r="N131" i="97"/>
  <c r="N130" i="97" s="1"/>
  <c r="M131" i="97"/>
  <c r="M130" i="97" s="1"/>
  <c r="L131" i="97"/>
  <c r="L130" i="97" s="1"/>
  <c r="K131" i="97"/>
  <c r="K130" i="97" s="1"/>
  <c r="J131" i="97"/>
  <c r="J130" i="97" s="1"/>
  <c r="I131" i="97"/>
  <c r="I130" i="97" s="1"/>
  <c r="H131" i="97"/>
  <c r="H130" i="97" s="1"/>
  <c r="G131" i="97"/>
  <c r="G130" i="97" s="1"/>
  <c r="N125" i="97"/>
  <c r="M125" i="97"/>
  <c r="K125" i="97"/>
  <c r="I125" i="97"/>
  <c r="H125" i="97"/>
  <c r="G125" i="97"/>
  <c r="O124" i="97"/>
  <c r="O123" i="97" s="1"/>
  <c r="N123" i="97"/>
  <c r="M123" i="97"/>
  <c r="L123" i="97"/>
  <c r="K123" i="97"/>
  <c r="J123" i="97"/>
  <c r="I123" i="97"/>
  <c r="H123" i="97"/>
  <c r="G123" i="97"/>
  <c r="O119" i="97"/>
  <c r="O118" i="97" s="1"/>
  <c r="N118" i="97"/>
  <c r="M118" i="97"/>
  <c r="L118" i="97"/>
  <c r="K118" i="97"/>
  <c r="J118" i="97"/>
  <c r="I118" i="97"/>
  <c r="H118" i="97"/>
  <c r="G118" i="97"/>
  <c r="O116" i="97"/>
  <c r="N116" i="97"/>
  <c r="M116" i="97"/>
  <c r="L116" i="97"/>
  <c r="K116" i="97"/>
  <c r="J116" i="97"/>
  <c r="I116" i="97"/>
  <c r="H116" i="97"/>
  <c r="G116" i="97"/>
  <c r="O109" i="97"/>
  <c r="O108" i="97"/>
  <c r="N107" i="97"/>
  <c r="M107" i="97"/>
  <c r="L107" i="97"/>
  <c r="L100" i="97" s="1"/>
  <c r="K107" i="97"/>
  <c r="J107" i="97"/>
  <c r="I107" i="97"/>
  <c r="H107" i="97"/>
  <c r="G107" i="97"/>
  <c r="O106" i="97"/>
  <c r="O105" i="97"/>
  <c r="O104" i="97"/>
  <c r="O103" i="97"/>
  <c r="O102" i="97"/>
  <c r="N101" i="97"/>
  <c r="M101" i="97"/>
  <c r="G101" i="97"/>
  <c r="O99" i="97"/>
  <c r="O98" i="97"/>
  <c r="L96" i="97"/>
  <c r="L95" i="97" s="1"/>
  <c r="K97" i="97"/>
  <c r="K96" i="97" s="1"/>
  <c r="J97" i="97"/>
  <c r="J96" i="97" s="1"/>
  <c r="H97" i="97"/>
  <c r="H96" i="97" s="1"/>
  <c r="N96" i="97"/>
  <c r="M96" i="97"/>
  <c r="I96" i="97"/>
  <c r="G96" i="97"/>
  <c r="O92" i="97"/>
  <c r="N89" i="97"/>
  <c r="M89" i="97"/>
  <c r="N88" i="97"/>
  <c r="N86" i="97" s="1"/>
  <c r="M88" i="97"/>
  <c r="M86" i="97" s="1"/>
  <c r="L88" i="97"/>
  <c r="L86" i="97" s="1"/>
  <c r="K88" i="97"/>
  <c r="K86" i="97" s="1"/>
  <c r="I88" i="97"/>
  <c r="I86" i="97" s="1"/>
  <c r="H88" i="97"/>
  <c r="H86" i="97" s="1"/>
  <c r="G88" i="97"/>
  <c r="O87" i="97"/>
  <c r="O85" i="97"/>
  <c r="O81" i="97"/>
  <c r="O80" i="97"/>
  <c r="O79" i="97"/>
  <c r="L78" i="97"/>
  <c r="L76" i="97" s="1"/>
  <c r="K76" i="97"/>
  <c r="J78" i="97"/>
  <c r="J76" i="97" s="1"/>
  <c r="H76" i="97"/>
  <c r="G78" i="97"/>
  <c r="G77" i="97"/>
  <c r="O77" i="97" s="1"/>
  <c r="N76" i="97"/>
  <c r="M76" i="97"/>
  <c r="I76" i="97"/>
  <c r="O74" i="97"/>
  <c r="O73" i="97"/>
  <c r="O72" i="97"/>
  <c r="O71" i="97"/>
  <c r="N70" i="97"/>
  <c r="N69" i="97" s="1"/>
  <c r="M70" i="97"/>
  <c r="M69" i="97" s="1"/>
  <c r="L70" i="97"/>
  <c r="L69" i="97" s="1"/>
  <c r="K70" i="97"/>
  <c r="K69" i="97" s="1"/>
  <c r="J70" i="97"/>
  <c r="J69" i="97" s="1"/>
  <c r="I70" i="97"/>
  <c r="I69" i="97" s="1"/>
  <c r="H70" i="97"/>
  <c r="H69" i="97" s="1"/>
  <c r="G70" i="97"/>
  <c r="G69" i="97" s="1"/>
  <c r="O68" i="97"/>
  <c r="O67" i="97"/>
  <c r="N66" i="97"/>
  <c r="N65" i="97" s="1"/>
  <c r="M66" i="97"/>
  <c r="M65" i="97" s="1"/>
  <c r="L66" i="97"/>
  <c r="L65" i="97" s="1"/>
  <c r="J66" i="97"/>
  <c r="J65" i="97" s="1"/>
  <c r="I66" i="97"/>
  <c r="I65" i="97" s="1"/>
  <c r="H65" i="97"/>
  <c r="G66" i="97"/>
  <c r="G65" i="97" s="1"/>
  <c r="O64" i="97"/>
  <c r="O63" i="97"/>
  <c r="N62" i="97"/>
  <c r="M62" i="97"/>
  <c r="L62" i="97"/>
  <c r="K62" i="97"/>
  <c r="J62" i="97"/>
  <c r="I62" i="97"/>
  <c r="H62" i="97"/>
  <c r="G62" i="97"/>
  <c r="O61" i="97"/>
  <c r="O60" i="97"/>
  <c r="N59" i="97"/>
  <c r="M59" i="97"/>
  <c r="L59" i="97"/>
  <c r="K59" i="97"/>
  <c r="J59" i="97"/>
  <c r="I59" i="97"/>
  <c r="H59" i="97"/>
  <c r="G59" i="97"/>
  <c r="O58" i="97"/>
  <c r="O57" i="97"/>
  <c r="N56" i="97"/>
  <c r="M56" i="97"/>
  <c r="L56" i="97"/>
  <c r="K56" i="97"/>
  <c r="J56" i="97"/>
  <c r="I56" i="97"/>
  <c r="H56" i="97"/>
  <c r="G56" i="97"/>
  <c r="O55" i="97"/>
  <c r="O54" i="97"/>
  <c r="O53" i="97"/>
  <c r="O52" i="97"/>
  <c r="O51" i="97"/>
  <c r="N50" i="97"/>
  <c r="M50" i="97"/>
  <c r="L50" i="97"/>
  <c r="K50" i="97"/>
  <c r="J50" i="97"/>
  <c r="I50" i="97"/>
  <c r="H50" i="97"/>
  <c r="G50" i="97"/>
  <c r="O47" i="97"/>
  <c r="O46" i="97" s="1"/>
  <c r="O45" i="97" s="1"/>
  <c r="N46" i="97"/>
  <c r="M46" i="97"/>
  <c r="L46" i="97"/>
  <c r="L45" i="97" s="1"/>
  <c r="K46" i="97"/>
  <c r="K45" i="97" s="1"/>
  <c r="J46" i="97"/>
  <c r="J45" i="97" s="1"/>
  <c r="I46" i="97"/>
  <c r="I45" i="97" s="1"/>
  <c r="H46" i="97"/>
  <c r="H45" i="97" s="1"/>
  <c r="G46" i="97"/>
  <c r="G45" i="97" s="1"/>
  <c r="N45" i="97"/>
  <c r="M45" i="97"/>
  <c r="H44" i="97"/>
  <c r="O44" i="97" s="1"/>
  <c r="O43" i="97" s="1"/>
  <c r="O42" i="97" s="1"/>
  <c r="N43" i="97"/>
  <c r="N42" i="97" s="1"/>
  <c r="M43" i="97"/>
  <c r="M42" i="97" s="1"/>
  <c r="L43" i="97"/>
  <c r="L42" i="97" s="1"/>
  <c r="K43" i="97"/>
  <c r="K42" i="97" s="1"/>
  <c r="J43" i="97"/>
  <c r="J42" i="97" s="1"/>
  <c r="I43" i="97"/>
  <c r="I42" i="97" s="1"/>
  <c r="G43" i="97"/>
  <c r="G42" i="97" s="1"/>
  <c r="O41" i="97"/>
  <c r="O40" i="97" s="1"/>
  <c r="N40" i="97"/>
  <c r="M40" i="97"/>
  <c r="L40" i="97"/>
  <c r="K40" i="97"/>
  <c r="J40" i="97"/>
  <c r="I40" i="97"/>
  <c r="H40" i="97"/>
  <c r="G40" i="97"/>
  <c r="O39" i="97"/>
  <c r="O38" i="97" s="1"/>
  <c r="N38" i="97"/>
  <c r="M38" i="97"/>
  <c r="L38" i="97"/>
  <c r="K38" i="97"/>
  <c r="J38" i="97"/>
  <c r="I38" i="97"/>
  <c r="H38" i="97"/>
  <c r="G38" i="97"/>
  <c r="O37" i="97"/>
  <c r="O36" i="97" s="1"/>
  <c r="O33" i="97" s="1"/>
  <c r="N36" i="97"/>
  <c r="M36" i="97"/>
  <c r="L36" i="97"/>
  <c r="K36" i="97"/>
  <c r="J36" i="97"/>
  <c r="I36" i="97"/>
  <c r="H36" i="97"/>
  <c r="G36" i="97"/>
  <c r="M34" i="97"/>
  <c r="L34" i="97"/>
  <c r="K34" i="97"/>
  <c r="J34" i="97"/>
  <c r="I34" i="97"/>
  <c r="H34" i="97"/>
  <c r="G34" i="97"/>
  <c r="O31" i="97"/>
  <c r="O30" i="97"/>
  <c r="N29" i="97"/>
  <c r="M29" i="97"/>
  <c r="L29" i="97"/>
  <c r="K29" i="97"/>
  <c r="J29" i="97"/>
  <c r="I29" i="97"/>
  <c r="H29" i="97"/>
  <c r="G29" i="97"/>
  <c r="O28" i="97"/>
  <c r="O27" i="97"/>
  <c r="N26" i="97"/>
  <c r="M26" i="97"/>
  <c r="L26" i="97"/>
  <c r="K26" i="97"/>
  <c r="J26" i="97"/>
  <c r="I26" i="97"/>
  <c r="H26" i="97"/>
  <c r="G26" i="97"/>
  <c r="O25" i="97"/>
  <c r="O24" i="97"/>
  <c r="N23" i="97"/>
  <c r="M23" i="97"/>
  <c r="L23" i="97"/>
  <c r="K23" i="97"/>
  <c r="J23" i="97"/>
  <c r="I23" i="97"/>
  <c r="H23" i="97"/>
  <c r="G23" i="97"/>
  <c r="O22" i="97"/>
  <c r="O21" i="97"/>
  <c r="N20" i="97"/>
  <c r="M20" i="97"/>
  <c r="L20" i="97"/>
  <c r="K20" i="97"/>
  <c r="J20" i="97"/>
  <c r="I20" i="97"/>
  <c r="H20" i="97"/>
  <c r="G20" i="97"/>
  <c r="O17" i="97"/>
  <c r="O16" i="97"/>
  <c r="O15" i="97"/>
  <c r="O14" i="97"/>
  <c r="N13" i="97"/>
  <c r="N12" i="97" s="1"/>
  <c r="M13" i="97"/>
  <c r="M12" i="97" s="1"/>
  <c r="L13" i="97"/>
  <c r="L12" i="97" s="1"/>
  <c r="K13" i="97"/>
  <c r="K12" i="97" s="1"/>
  <c r="J13" i="97"/>
  <c r="J12" i="97" s="1"/>
  <c r="I13" i="97"/>
  <c r="I12" i="97" s="1"/>
  <c r="H13" i="97"/>
  <c r="H12" i="97" s="1"/>
  <c r="G13" i="97"/>
  <c r="G12" i="97" s="1"/>
  <c r="O110" i="97" l="1"/>
  <c r="H230" i="97"/>
  <c r="L110" i="97"/>
  <c r="G243" i="97"/>
  <c r="O32" i="97"/>
  <c r="O163" i="97"/>
  <c r="O165" i="97"/>
  <c r="O101" i="97"/>
  <c r="K133" i="97"/>
  <c r="O66" i="97"/>
  <c r="O65" i="97" s="1"/>
  <c r="O269" i="97"/>
  <c r="N268" i="97"/>
  <c r="N264" i="97" s="1"/>
  <c r="O264" i="97" s="1"/>
  <c r="K223" i="97"/>
  <c r="K189" i="97" s="1"/>
  <c r="O191" i="97"/>
  <c r="O162" i="97"/>
  <c r="O133" i="97" s="1"/>
  <c r="O271" i="97"/>
  <c r="O268" i="97" s="1"/>
  <c r="J75" i="97"/>
  <c r="G86" i="97"/>
  <c r="O88" i="97"/>
  <c r="O86" i="97" s="1"/>
  <c r="O89" i="97"/>
  <c r="H49" i="97"/>
  <c r="H48" i="97" s="1"/>
  <c r="L49" i="97"/>
  <c r="L48" i="97" s="1"/>
  <c r="O62" i="97"/>
  <c r="G209" i="98"/>
  <c r="I209" i="98" s="1"/>
  <c r="O107" i="97"/>
  <c r="J140" i="98"/>
  <c r="L140" i="98" s="1"/>
  <c r="G140" i="98"/>
  <c r="I140" i="98" s="1"/>
  <c r="I141" i="98"/>
  <c r="G138" i="98"/>
  <c r="I138" i="98" s="1"/>
  <c r="I139" i="98"/>
  <c r="J138" i="98"/>
  <c r="L138" i="98" s="1"/>
  <c r="L139" i="98"/>
  <c r="G12" i="98"/>
  <c r="I12" i="98" s="1"/>
  <c r="I13" i="98"/>
  <c r="G70" i="98"/>
  <c r="I73" i="98"/>
  <c r="G90" i="98"/>
  <c r="I90" i="98" s="1"/>
  <c r="I91" i="98"/>
  <c r="G42" i="98"/>
  <c r="I42" i="98" s="1"/>
  <c r="I43" i="98"/>
  <c r="G65" i="98"/>
  <c r="I65" i="98" s="1"/>
  <c r="I66" i="98"/>
  <c r="G83" i="98"/>
  <c r="I83" i="98" s="1"/>
  <c r="I85" i="98"/>
  <c r="G122" i="98"/>
  <c r="I122" i="98" s="1"/>
  <c r="I123" i="98"/>
  <c r="G190" i="98"/>
  <c r="I190" i="98" s="1"/>
  <c r="I192" i="98"/>
  <c r="J209" i="98"/>
  <c r="L209" i="98" s="1"/>
  <c r="L210" i="98"/>
  <c r="J42" i="98"/>
  <c r="L42" i="98" s="1"/>
  <c r="L43" i="98"/>
  <c r="J65" i="98"/>
  <c r="L65" i="98" s="1"/>
  <c r="L66" i="98"/>
  <c r="J76" i="98"/>
  <c r="L76" i="98" s="1"/>
  <c r="J83" i="98"/>
  <c r="L83" i="98" s="1"/>
  <c r="L85" i="98"/>
  <c r="J122" i="98"/>
  <c r="L122" i="98" s="1"/>
  <c r="L123" i="98"/>
  <c r="G45" i="98"/>
  <c r="I45" i="98" s="1"/>
  <c r="I46" i="98"/>
  <c r="G117" i="98"/>
  <c r="I117" i="98" s="1"/>
  <c r="I118" i="98"/>
  <c r="J12" i="98"/>
  <c r="L12" i="98" s="1"/>
  <c r="L13" i="98"/>
  <c r="J45" i="98"/>
  <c r="L45" i="98" s="1"/>
  <c r="L46" i="98"/>
  <c r="J70" i="98"/>
  <c r="L73" i="98"/>
  <c r="J90" i="98"/>
  <c r="L90" i="98" s="1"/>
  <c r="L91" i="98"/>
  <c r="J117" i="98"/>
  <c r="L117" i="98" s="1"/>
  <c r="L118" i="98"/>
  <c r="J197" i="98"/>
  <c r="L197" i="98" s="1"/>
  <c r="L198" i="98"/>
  <c r="O56" i="97"/>
  <c r="G19" i="98"/>
  <c r="O131" i="97"/>
  <c r="O130" i="97" s="1"/>
  <c r="G19" i="97"/>
  <c r="G18" i="97" s="1"/>
  <c r="O26" i="97"/>
  <c r="H110" i="97"/>
  <c r="O59" i="97"/>
  <c r="J110" i="97"/>
  <c r="N110" i="97"/>
  <c r="O164" i="97"/>
  <c r="H43" i="97"/>
  <c r="H42" i="97" s="1"/>
  <c r="L230" i="97"/>
  <c r="O23" i="97"/>
  <c r="I33" i="97"/>
  <c r="I32" i="97" s="1"/>
  <c r="M33" i="97"/>
  <c r="M32" i="97" s="1"/>
  <c r="H100" i="97"/>
  <c r="H95" i="97" s="1"/>
  <c r="J19" i="98"/>
  <c r="J33" i="98"/>
  <c r="G104" i="98"/>
  <c r="I104" i="98" s="1"/>
  <c r="N75" i="97"/>
  <c r="M133" i="97"/>
  <c r="I100" i="97"/>
  <c r="I95" i="97" s="1"/>
  <c r="M100" i="97"/>
  <c r="M95" i="97" s="1"/>
  <c r="I122" i="97"/>
  <c r="M122" i="97"/>
  <c r="G33" i="98"/>
  <c r="G49" i="98"/>
  <c r="I49" i="98" s="1"/>
  <c r="G76" i="98"/>
  <c r="K19" i="97"/>
  <c r="K18" i="97" s="1"/>
  <c r="O70" i="97"/>
  <c r="O69" i="97" s="1"/>
  <c r="K75" i="97"/>
  <c r="O122" i="97"/>
  <c r="H19" i="97"/>
  <c r="H18" i="97" s="1"/>
  <c r="L19" i="97"/>
  <c r="L18" i="97" s="1"/>
  <c r="M75" i="97"/>
  <c r="O193" i="97"/>
  <c r="J189" i="97"/>
  <c r="N189" i="97"/>
  <c r="O224" i="97"/>
  <c r="O223" i="97" s="1"/>
  <c r="J230" i="97"/>
  <c r="N230" i="97"/>
  <c r="O234" i="97"/>
  <c r="O231" i="97" s="1"/>
  <c r="O245" i="97"/>
  <c r="G94" i="98"/>
  <c r="J190" i="98"/>
  <c r="G197" i="98"/>
  <c r="I197" i="98" s="1"/>
  <c r="I133" i="97"/>
  <c r="O20" i="97"/>
  <c r="G122" i="97"/>
  <c r="K122" i="97"/>
  <c r="J100" i="97"/>
  <c r="J95" i="97" s="1"/>
  <c r="N100" i="97"/>
  <c r="N95" i="97" s="1"/>
  <c r="J122" i="97"/>
  <c r="N122" i="97"/>
  <c r="J49" i="98"/>
  <c r="J94" i="98"/>
  <c r="J104" i="98"/>
  <c r="L104" i="98" s="1"/>
  <c r="I19" i="97"/>
  <c r="I18" i="97" s="1"/>
  <c r="M19" i="97"/>
  <c r="M18" i="97" s="1"/>
  <c r="L75" i="97"/>
  <c r="H223" i="97"/>
  <c r="H189" i="97" s="1"/>
  <c r="L223" i="97"/>
  <c r="L189" i="97" s="1"/>
  <c r="N19" i="97"/>
  <c r="N18" i="97" s="1"/>
  <c r="K100" i="97"/>
  <c r="K95" i="97" s="1"/>
  <c r="L122" i="97"/>
  <c r="I189" i="97"/>
  <c r="J33" i="97"/>
  <c r="J32" i="97" s="1"/>
  <c r="N33" i="97"/>
  <c r="N32" i="97" s="1"/>
  <c r="H75" i="97"/>
  <c r="G110" i="97"/>
  <c r="K110" i="97"/>
  <c r="I110" i="97"/>
  <c r="M110" i="97"/>
  <c r="H133" i="97"/>
  <c r="L133" i="97"/>
  <c r="O190" i="97"/>
  <c r="J19" i="97"/>
  <c r="J18" i="97" s="1"/>
  <c r="G100" i="97"/>
  <c r="G95" i="97" s="1"/>
  <c r="H122" i="97"/>
  <c r="M189" i="97"/>
  <c r="K230" i="97"/>
  <c r="O13" i="97"/>
  <c r="O12" i="97" s="1"/>
  <c r="H33" i="97"/>
  <c r="H32" i="97" s="1"/>
  <c r="L33" i="97"/>
  <c r="L32" i="97" s="1"/>
  <c r="G33" i="97"/>
  <c r="G32" i="97" s="1"/>
  <c r="K33" i="97"/>
  <c r="K32" i="97" s="1"/>
  <c r="J49" i="97"/>
  <c r="J48" i="97" s="1"/>
  <c r="N49" i="97"/>
  <c r="N48" i="97" s="1"/>
  <c r="I49" i="97"/>
  <c r="I48" i="97" s="1"/>
  <c r="M49" i="97"/>
  <c r="M48" i="97" s="1"/>
  <c r="G76" i="97"/>
  <c r="J133" i="97"/>
  <c r="N133" i="97"/>
  <c r="G189" i="97"/>
  <c r="I230" i="97"/>
  <c r="M230" i="97"/>
  <c r="O78" i="97"/>
  <c r="O76" i="97" s="1"/>
  <c r="O29" i="97"/>
  <c r="G49" i="97"/>
  <c r="G48" i="97" s="1"/>
  <c r="K49" i="97"/>
  <c r="K48" i="97" s="1"/>
  <c r="O50" i="97"/>
  <c r="I75" i="97"/>
  <c r="O97" i="97"/>
  <c r="O96" i="97" s="1"/>
  <c r="G156" i="97"/>
  <c r="G133" i="97" s="1"/>
  <c r="H268" i="97"/>
  <c r="H264" i="97" s="1"/>
  <c r="L11" i="97" l="1"/>
  <c r="G241" i="97"/>
  <c r="G230" i="97" s="1"/>
  <c r="G129" i="97" s="1"/>
  <c r="G128" i="97" s="1"/>
  <c r="O243" i="97"/>
  <c r="O241" i="97" s="1"/>
  <c r="G125" i="98"/>
  <c r="I125" i="98" s="1"/>
  <c r="J75" i="98"/>
  <c r="L75" i="98" s="1"/>
  <c r="G156" i="98"/>
  <c r="I156" i="98" s="1"/>
  <c r="G75" i="97"/>
  <c r="G11" i="97" s="1"/>
  <c r="J129" i="97"/>
  <c r="J128" i="97" s="1"/>
  <c r="O100" i="97"/>
  <c r="O95" i="97" s="1"/>
  <c r="J125" i="98"/>
  <c r="L125" i="98" s="1"/>
  <c r="J89" i="98"/>
  <c r="L89" i="98" s="1"/>
  <c r="L94" i="98"/>
  <c r="J156" i="98"/>
  <c r="L156" i="98" s="1"/>
  <c r="L190" i="98"/>
  <c r="G75" i="98"/>
  <c r="I75" i="98" s="1"/>
  <c r="I76" i="98"/>
  <c r="G18" i="98"/>
  <c r="I18" i="98" s="1"/>
  <c r="I19" i="98"/>
  <c r="J48" i="98"/>
  <c r="L48" i="98" s="1"/>
  <c r="L49" i="98"/>
  <c r="J32" i="98"/>
  <c r="L32" i="98" s="1"/>
  <c r="L33" i="98"/>
  <c r="G48" i="98"/>
  <c r="I48" i="98" s="1"/>
  <c r="G89" i="98"/>
  <c r="I89" i="98" s="1"/>
  <c r="I94" i="98"/>
  <c r="G32" i="98"/>
  <c r="I32" i="98" s="1"/>
  <c r="I33" i="98"/>
  <c r="J18" i="98"/>
  <c r="L18" i="98" s="1"/>
  <c r="L19" i="98"/>
  <c r="J69" i="98"/>
  <c r="L69" i="98" s="1"/>
  <c r="L70" i="98"/>
  <c r="G69" i="98"/>
  <c r="I69" i="98" s="1"/>
  <c r="I70" i="98"/>
  <c r="O189" i="97"/>
  <c r="O19" i="97"/>
  <c r="O18" i="97" s="1"/>
  <c r="K129" i="97"/>
  <c r="K128" i="97" s="1"/>
  <c r="N11" i="97"/>
  <c r="O49" i="97"/>
  <c r="O48" i="97" s="1"/>
  <c r="L129" i="97"/>
  <c r="L128" i="97" s="1"/>
  <c r="J11" i="97"/>
  <c r="I11" i="97"/>
  <c r="M129" i="97"/>
  <c r="M128" i="97" s="1"/>
  <c r="N129" i="97"/>
  <c r="N128" i="97" s="1"/>
  <c r="M11" i="97"/>
  <c r="K11" i="97"/>
  <c r="H129" i="97"/>
  <c r="H128" i="97" s="1"/>
  <c r="I129" i="97"/>
  <c r="I128" i="97" s="1"/>
  <c r="O75" i="97"/>
  <c r="H11" i="97"/>
  <c r="K10" i="97" l="1"/>
  <c r="G121" i="98"/>
  <c r="G120" i="98" s="1"/>
  <c r="I120" i="98" s="1"/>
  <c r="N10" i="97"/>
  <c r="J11" i="98"/>
  <c r="L11" i="98" s="1"/>
  <c r="J121" i="98"/>
  <c r="G11" i="98"/>
  <c r="I11" i="98" s="1"/>
  <c r="O230" i="97"/>
  <c r="O129" i="97" s="1"/>
  <c r="O128" i="97" s="1"/>
  <c r="J10" i="97"/>
  <c r="G10" i="97"/>
  <c r="L10" i="97"/>
  <c r="I10" i="97"/>
  <c r="M10" i="97"/>
  <c r="O11" i="97"/>
  <c r="H10" i="97"/>
  <c r="I121" i="98" l="1"/>
  <c r="J120" i="98"/>
  <c r="L121" i="98"/>
  <c r="G10" i="98"/>
  <c r="I10" i="98" s="1"/>
  <c r="O10" i="97"/>
  <c r="J733" i="74"/>
  <c r="J756" i="74"/>
  <c r="J852" i="74"/>
  <c r="J10" i="98" l="1"/>
  <c r="L10" i="98" s="1"/>
  <c r="L120" i="98"/>
  <c r="H871" i="74"/>
  <c r="H870" i="74" s="1"/>
  <c r="I871" i="74"/>
  <c r="I870" i="74" s="1"/>
  <c r="J871" i="74"/>
  <c r="J870" i="74" s="1"/>
  <c r="K871" i="74"/>
  <c r="K870" i="74" s="1"/>
  <c r="L871" i="74"/>
  <c r="L870" i="74" s="1"/>
  <c r="M871" i="74"/>
  <c r="M870" i="74" s="1"/>
  <c r="N871" i="74"/>
  <c r="N870" i="74" s="1"/>
  <c r="O871" i="74"/>
  <c r="O870" i="74" s="1"/>
  <c r="P871" i="74"/>
  <c r="P870" i="74" s="1"/>
  <c r="Q871" i="74"/>
  <c r="Q870" i="74" s="1"/>
  <c r="R871" i="74"/>
  <c r="R870" i="74" s="1"/>
  <c r="S867" i="74"/>
  <c r="D433" i="76" s="1"/>
  <c r="H865" i="74"/>
  <c r="I865" i="74"/>
  <c r="J865" i="74"/>
  <c r="K865" i="74"/>
  <c r="L865" i="74"/>
  <c r="M865" i="74"/>
  <c r="N865" i="74"/>
  <c r="O865" i="74"/>
  <c r="P865" i="74"/>
  <c r="Q865" i="74"/>
  <c r="R865" i="74"/>
  <c r="S202" i="74"/>
  <c r="S204" i="74"/>
  <c r="H199" i="74"/>
  <c r="I199" i="74"/>
  <c r="J199" i="74"/>
  <c r="K199" i="74"/>
  <c r="L199" i="74"/>
  <c r="M199" i="74"/>
  <c r="N199" i="74"/>
  <c r="O199" i="74"/>
  <c r="P199" i="74"/>
  <c r="Q199" i="74"/>
  <c r="R199" i="74"/>
  <c r="H203" i="74"/>
  <c r="I203" i="74"/>
  <c r="J203" i="74"/>
  <c r="K203" i="74"/>
  <c r="L203" i="74"/>
  <c r="M203" i="74"/>
  <c r="N203" i="74"/>
  <c r="O203" i="74"/>
  <c r="P203" i="74"/>
  <c r="Q203" i="74"/>
  <c r="R203" i="74"/>
  <c r="G199" i="74"/>
  <c r="G203" i="74"/>
  <c r="J861" i="74"/>
  <c r="S203" i="74" l="1"/>
  <c r="S200" i="74"/>
  <c r="S199" i="74"/>
  <c r="H106" i="74" l="1"/>
  <c r="I106" i="74"/>
  <c r="J106" i="74"/>
  <c r="K106" i="74"/>
  <c r="L106" i="74"/>
  <c r="M106" i="74"/>
  <c r="N106" i="74"/>
  <c r="O106" i="74"/>
  <c r="P106" i="74"/>
  <c r="Q106" i="74"/>
  <c r="R106" i="74"/>
  <c r="H71" i="74"/>
  <c r="I71" i="74"/>
  <c r="J71" i="74"/>
  <c r="K71" i="74"/>
  <c r="L71" i="74"/>
  <c r="M71" i="74"/>
  <c r="N71" i="74"/>
  <c r="O71" i="74"/>
  <c r="P71" i="74"/>
  <c r="Q71" i="74"/>
  <c r="R71" i="74"/>
  <c r="H821" i="74"/>
  <c r="I821" i="74"/>
  <c r="J821" i="74"/>
  <c r="K821" i="74"/>
  <c r="L821" i="74"/>
  <c r="M821" i="74"/>
  <c r="N821" i="74"/>
  <c r="N820" i="74" s="1"/>
  <c r="O821" i="74"/>
  <c r="O820" i="74" s="1"/>
  <c r="P821" i="74"/>
  <c r="P820" i="74" s="1"/>
  <c r="Q821" i="74"/>
  <c r="Q820" i="74" s="1"/>
  <c r="R821" i="74"/>
  <c r="R820" i="74" s="1"/>
  <c r="S822" i="74"/>
  <c r="G821" i="74"/>
  <c r="S821" i="74" l="1"/>
  <c r="D311" i="76" s="1"/>
  <c r="D310" i="76" s="1"/>
  <c r="S568" i="74" l="1"/>
  <c r="H567" i="74"/>
  <c r="I567" i="74"/>
  <c r="J567" i="74"/>
  <c r="K567" i="74"/>
  <c r="L567" i="74"/>
  <c r="M567" i="74"/>
  <c r="N567" i="74"/>
  <c r="O567" i="74"/>
  <c r="P567" i="74"/>
  <c r="Q567" i="74"/>
  <c r="R567" i="74"/>
  <c r="G567" i="74"/>
  <c r="S575" i="74"/>
  <c r="H574" i="74"/>
  <c r="I574" i="74"/>
  <c r="J574" i="74"/>
  <c r="K574" i="74"/>
  <c r="L574" i="74"/>
  <c r="M574" i="74"/>
  <c r="N574" i="74"/>
  <c r="O574" i="74"/>
  <c r="P574" i="74"/>
  <c r="Q574" i="74"/>
  <c r="R574" i="74"/>
  <c r="G574" i="74"/>
  <c r="S567" i="74" l="1"/>
  <c r="D503" i="76"/>
  <c r="D502" i="76" s="1"/>
  <c r="S574" i="74"/>
  <c r="S107" i="74"/>
  <c r="S72" i="74"/>
  <c r="G106" i="74"/>
  <c r="S106" i="74" s="1"/>
  <c r="G71" i="74"/>
  <c r="S71" i="74" s="1"/>
  <c r="J58" i="74" l="1"/>
  <c r="C10" i="87"/>
  <c r="D13" i="96" l="1"/>
  <c r="E22" i="91"/>
  <c r="F22" i="91"/>
  <c r="E11" i="94" l="1"/>
  <c r="D11" i="94"/>
  <c r="S444" i="74" l="1"/>
  <c r="D335" i="76" s="1"/>
  <c r="I441" i="74"/>
  <c r="J441" i="74"/>
  <c r="K441" i="74"/>
  <c r="N441" i="74"/>
  <c r="O441" i="74"/>
  <c r="P441" i="74"/>
  <c r="Q441" i="74"/>
  <c r="R441" i="74"/>
  <c r="G441" i="74"/>
  <c r="H583" i="74" l="1"/>
  <c r="G581" i="74"/>
  <c r="U8" i="74" s="1"/>
  <c r="H226" i="74" l="1"/>
  <c r="H212" i="74"/>
  <c r="H58" i="74" l="1"/>
  <c r="G70" i="74"/>
  <c r="G577" i="74" l="1"/>
  <c r="H443" i="74" l="1"/>
  <c r="H441" i="74" s="1"/>
  <c r="G576" i="74"/>
  <c r="H852" i="74"/>
  <c r="H756" i="74"/>
  <c r="H448" i="74"/>
  <c r="H125" i="74"/>
  <c r="H124" i="74"/>
  <c r="H123" i="74"/>
  <c r="S719" i="74"/>
  <c r="S718" i="74"/>
  <c r="S717" i="74"/>
  <c r="S622" i="74"/>
  <c r="R621" i="74"/>
  <c r="R620" i="74" s="1"/>
  <c r="R619" i="74" s="1"/>
  <c r="Q621" i="74"/>
  <c r="Q620" i="74" s="1"/>
  <c r="Q619" i="74" s="1"/>
  <c r="P621" i="74"/>
  <c r="P620" i="74" s="1"/>
  <c r="P619" i="74" s="1"/>
  <c r="O621" i="74"/>
  <c r="O620" i="74" s="1"/>
  <c r="O619" i="74" s="1"/>
  <c r="N621" i="74"/>
  <c r="N620" i="74" s="1"/>
  <c r="N619" i="74" s="1"/>
  <c r="M621" i="74"/>
  <c r="M620" i="74" s="1"/>
  <c r="M619" i="74" s="1"/>
  <c r="L621" i="74"/>
  <c r="L620" i="74" s="1"/>
  <c r="L619" i="74" s="1"/>
  <c r="K621" i="74"/>
  <c r="K620" i="74" s="1"/>
  <c r="K619" i="74" s="1"/>
  <c r="J621" i="74"/>
  <c r="J620" i="74" s="1"/>
  <c r="J619" i="74" s="1"/>
  <c r="I621" i="74"/>
  <c r="I620" i="74" s="1"/>
  <c r="I619" i="74" s="1"/>
  <c r="H621" i="74"/>
  <c r="H620" i="74" s="1"/>
  <c r="H619" i="74" s="1"/>
  <c r="G621" i="74"/>
  <c r="S601" i="74"/>
  <c r="R600" i="74"/>
  <c r="Q600" i="74"/>
  <c r="P600" i="74"/>
  <c r="O600" i="74"/>
  <c r="N600" i="74"/>
  <c r="M600" i="74"/>
  <c r="L600" i="74"/>
  <c r="K600" i="74"/>
  <c r="J600" i="74"/>
  <c r="I600" i="74"/>
  <c r="H600" i="74"/>
  <c r="G600" i="74"/>
  <c r="S429" i="74"/>
  <c r="R428" i="74"/>
  <c r="Q428" i="74"/>
  <c r="P428" i="74"/>
  <c r="O428" i="74"/>
  <c r="N428" i="74"/>
  <c r="M428" i="74"/>
  <c r="L428" i="74"/>
  <c r="K428" i="74"/>
  <c r="J428" i="74"/>
  <c r="I428" i="74"/>
  <c r="H428" i="74"/>
  <c r="G428" i="74"/>
  <c r="S427" i="74"/>
  <c r="S426" i="74"/>
  <c r="R425" i="74"/>
  <c r="R424" i="74" s="1"/>
  <c r="Q425" i="74"/>
  <c r="Q424" i="74" s="1"/>
  <c r="P425" i="74"/>
  <c r="P424" i="74" s="1"/>
  <c r="O425" i="74"/>
  <c r="O424" i="74" s="1"/>
  <c r="N425" i="74"/>
  <c r="N424" i="74" s="1"/>
  <c r="M425" i="74"/>
  <c r="M424" i="74" s="1"/>
  <c r="L425" i="74"/>
  <c r="L424" i="74" s="1"/>
  <c r="K425" i="74"/>
  <c r="K424" i="74" s="1"/>
  <c r="J425" i="74"/>
  <c r="J424" i="74" s="1"/>
  <c r="I425" i="74"/>
  <c r="I424" i="74" s="1"/>
  <c r="H425" i="74"/>
  <c r="H424" i="74" s="1"/>
  <c r="G425" i="74"/>
  <c r="G424" i="74" s="1"/>
  <c r="S423" i="74"/>
  <c r="R422" i="74"/>
  <c r="R421" i="74" s="1"/>
  <c r="Q422" i="74"/>
  <c r="Q421" i="74" s="1"/>
  <c r="P422" i="74"/>
  <c r="P421" i="74" s="1"/>
  <c r="O422" i="74"/>
  <c r="O421" i="74" s="1"/>
  <c r="N422" i="74"/>
  <c r="N421" i="74" s="1"/>
  <c r="M422" i="74"/>
  <c r="M421" i="74" s="1"/>
  <c r="L422" i="74"/>
  <c r="L421" i="74" s="1"/>
  <c r="K422" i="74"/>
  <c r="K421" i="74" s="1"/>
  <c r="J422" i="74"/>
  <c r="J421" i="74" s="1"/>
  <c r="I422" i="74"/>
  <c r="I421" i="74" s="1"/>
  <c r="H422" i="74"/>
  <c r="H421" i="74" s="1"/>
  <c r="G422" i="74"/>
  <c r="G421" i="74" s="1"/>
  <c r="H469" i="74"/>
  <c r="H733" i="74"/>
  <c r="G174" i="74"/>
  <c r="U1" i="74" s="1"/>
  <c r="G175" i="74"/>
  <c r="S792" i="74"/>
  <c r="S791" i="74"/>
  <c r="R790" i="74"/>
  <c r="Q790" i="74"/>
  <c r="P790" i="74"/>
  <c r="O790" i="74"/>
  <c r="N790" i="74"/>
  <c r="M790" i="74"/>
  <c r="L790" i="74"/>
  <c r="K790" i="74"/>
  <c r="J790" i="74"/>
  <c r="I790" i="74"/>
  <c r="H790" i="74"/>
  <c r="G790" i="74"/>
  <c r="S599" i="74"/>
  <c r="R598" i="74"/>
  <c r="Q598" i="74"/>
  <c r="P598" i="74"/>
  <c r="O598" i="74"/>
  <c r="N598" i="74"/>
  <c r="M598" i="74"/>
  <c r="L598" i="74"/>
  <c r="K598" i="74"/>
  <c r="J598" i="74"/>
  <c r="I598" i="74"/>
  <c r="H598" i="74"/>
  <c r="G598" i="74"/>
  <c r="S597" i="74"/>
  <c r="R596" i="74"/>
  <c r="R595" i="74" s="1"/>
  <c r="Q596" i="74"/>
  <c r="Q595" i="74" s="1"/>
  <c r="P596" i="74"/>
  <c r="P595" i="74" s="1"/>
  <c r="O596" i="74"/>
  <c r="O595" i="74" s="1"/>
  <c r="N596" i="74"/>
  <c r="N595" i="74" s="1"/>
  <c r="M596" i="74"/>
  <c r="M595" i="74" s="1"/>
  <c r="L596" i="74"/>
  <c r="L595" i="74" s="1"/>
  <c r="K596" i="74"/>
  <c r="K595" i="74" s="1"/>
  <c r="J596" i="74"/>
  <c r="J595" i="74" s="1"/>
  <c r="I596" i="74"/>
  <c r="I595" i="74" s="1"/>
  <c r="H596" i="74"/>
  <c r="H595" i="74" s="1"/>
  <c r="G596" i="74"/>
  <c r="G595" i="74" s="1"/>
  <c r="D428" i="76" l="1"/>
  <c r="I594" i="74"/>
  <c r="M594" i="74"/>
  <c r="Q594" i="74"/>
  <c r="S790" i="74"/>
  <c r="D427" i="76" s="1"/>
  <c r="R420" i="74"/>
  <c r="J420" i="74"/>
  <c r="N420" i="74"/>
  <c r="K420" i="74"/>
  <c r="O420" i="74"/>
  <c r="O594" i="74"/>
  <c r="I420" i="74"/>
  <c r="J594" i="74"/>
  <c r="Q420" i="74"/>
  <c r="M420" i="74"/>
  <c r="S425" i="74"/>
  <c r="H594" i="74"/>
  <c r="L594" i="74"/>
  <c r="P594" i="74"/>
  <c r="S428" i="74"/>
  <c r="N594" i="74"/>
  <c r="R594" i="74"/>
  <c r="H420" i="74"/>
  <c r="L420" i="74"/>
  <c r="S600" i="74"/>
  <c r="S621" i="74"/>
  <c r="G620" i="74"/>
  <c r="K594" i="74"/>
  <c r="G594" i="74"/>
  <c r="S421" i="74"/>
  <c r="G420" i="74"/>
  <c r="P420" i="74"/>
  <c r="S424" i="74"/>
  <c r="S422" i="74"/>
  <c r="S598" i="74"/>
  <c r="S596" i="74"/>
  <c r="S595" i="74"/>
  <c r="G866" i="74"/>
  <c r="G865" i="74" s="1"/>
  <c r="G83" i="74"/>
  <c r="G103" i="74"/>
  <c r="G102" i="74" s="1"/>
  <c r="D426" i="76" l="1"/>
  <c r="S103" i="74"/>
  <c r="S420" i="74"/>
  <c r="S620" i="74"/>
  <c r="G619" i="74"/>
  <c r="G101" i="74"/>
  <c r="S101" i="74" s="1"/>
  <c r="S102" i="74"/>
  <c r="S619" i="74" l="1"/>
  <c r="G827" i="74" l="1"/>
  <c r="G112" i="74"/>
  <c r="G493" i="74" l="1"/>
  <c r="G495" i="74"/>
  <c r="H296" i="74" l="1"/>
  <c r="B21" i="88"/>
  <c r="B19" i="88"/>
  <c r="B15" i="88"/>
  <c r="B13" i="88"/>
  <c r="B12" i="88" s="1"/>
  <c r="H273" i="74"/>
  <c r="S273" i="74" s="1"/>
  <c r="E13" i="94"/>
  <c r="D13" i="94"/>
  <c r="C11" i="94"/>
  <c r="C13" i="94" s="1"/>
  <c r="D22" i="91"/>
  <c r="C12" i="87"/>
  <c r="H764" i="74"/>
  <c r="H710" i="74"/>
  <c r="H709" i="74" s="1"/>
  <c r="H898" i="74"/>
  <c r="H897" i="74" s="1"/>
  <c r="H895" i="74"/>
  <c r="H894" i="74" s="1"/>
  <c r="H863" i="74"/>
  <c r="S863" i="74" s="1"/>
  <c r="H861" i="74"/>
  <c r="S861" i="74" s="1"/>
  <c r="H761" i="74"/>
  <c r="H759" i="74"/>
  <c r="S759" i="74" s="1"/>
  <c r="H876" i="74"/>
  <c r="H875" i="74" s="1"/>
  <c r="H874" i="74" s="1"/>
  <c r="H873" i="74" s="1"/>
  <c r="I876" i="74"/>
  <c r="I875" i="74" s="1"/>
  <c r="I874" i="74" s="1"/>
  <c r="I873" i="74" s="1"/>
  <c r="J876" i="74"/>
  <c r="J875" i="74" s="1"/>
  <c r="J874" i="74" s="1"/>
  <c r="J873" i="74" s="1"/>
  <c r="K876" i="74"/>
  <c r="L876" i="74"/>
  <c r="L875" i="74" s="1"/>
  <c r="L874" i="74" s="1"/>
  <c r="L873" i="74" s="1"/>
  <c r="M876" i="74"/>
  <c r="M875" i="74" s="1"/>
  <c r="M874" i="74" s="1"/>
  <c r="M873" i="74" s="1"/>
  <c r="N876" i="74"/>
  <c r="N875" i="74" s="1"/>
  <c r="N874" i="74" s="1"/>
  <c r="N873" i="74" s="1"/>
  <c r="O876" i="74"/>
  <c r="O875" i="74" s="1"/>
  <c r="O874" i="74" s="1"/>
  <c r="O873" i="74" s="1"/>
  <c r="P876" i="74"/>
  <c r="P875" i="74" s="1"/>
  <c r="P874" i="74" s="1"/>
  <c r="P873" i="74" s="1"/>
  <c r="Q876" i="74"/>
  <c r="Q875" i="74" s="1"/>
  <c r="Q874" i="74" s="1"/>
  <c r="Q873" i="74" s="1"/>
  <c r="R876" i="74"/>
  <c r="R875" i="74" s="1"/>
  <c r="R874" i="74" s="1"/>
  <c r="R873" i="74" s="1"/>
  <c r="G876" i="74"/>
  <c r="G875" i="74" s="1"/>
  <c r="G874" i="74" s="1"/>
  <c r="G873" i="74" s="1"/>
  <c r="I709" i="74"/>
  <c r="J709" i="74"/>
  <c r="K709" i="74"/>
  <c r="L709" i="74"/>
  <c r="M709" i="74"/>
  <c r="N709" i="74"/>
  <c r="O709" i="74"/>
  <c r="P709" i="74"/>
  <c r="Q709" i="74"/>
  <c r="R709" i="74"/>
  <c r="G709" i="74"/>
  <c r="H59" i="74"/>
  <c r="H33" i="74"/>
  <c r="H32" i="74"/>
  <c r="H57" i="74"/>
  <c r="S57" i="74" s="1"/>
  <c r="H31" i="74"/>
  <c r="S31" i="74" s="1"/>
  <c r="H24" i="74"/>
  <c r="H23" i="74" s="1"/>
  <c r="H22" i="74" s="1"/>
  <c r="H21" i="74" s="1"/>
  <c r="I23" i="74"/>
  <c r="I22" i="74" s="1"/>
  <c r="I21" i="74" s="1"/>
  <c r="J24" i="74"/>
  <c r="J23" i="74" s="1"/>
  <c r="J22" i="74" s="1"/>
  <c r="J21" i="74" s="1"/>
  <c r="K24" i="74"/>
  <c r="K23" i="74" s="1"/>
  <c r="K22" i="74" s="1"/>
  <c r="K21" i="74" s="1"/>
  <c r="L24" i="74"/>
  <c r="L23" i="74" s="1"/>
  <c r="L22" i="74" s="1"/>
  <c r="L21" i="74" s="1"/>
  <c r="M24" i="74"/>
  <c r="M23" i="74" s="1"/>
  <c r="M22" i="74" s="1"/>
  <c r="M21" i="74" s="1"/>
  <c r="N24" i="74"/>
  <c r="N23" i="74" s="1"/>
  <c r="N22" i="74" s="1"/>
  <c r="N21" i="74" s="1"/>
  <c r="O24" i="74"/>
  <c r="O23" i="74" s="1"/>
  <c r="O22" i="74" s="1"/>
  <c r="O21" i="74" s="1"/>
  <c r="P24" i="74"/>
  <c r="P23" i="74" s="1"/>
  <c r="P22" i="74" s="1"/>
  <c r="P21" i="74" s="1"/>
  <c r="Q24" i="74"/>
  <c r="Q23" i="74" s="1"/>
  <c r="Q22" i="74" s="1"/>
  <c r="Q21" i="74" s="1"/>
  <c r="R24" i="74"/>
  <c r="R23" i="74" s="1"/>
  <c r="R22" i="74" s="1"/>
  <c r="R21" i="74" s="1"/>
  <c r="G24" i="74"/>
  <c r="S339" i="74"/>
  <c r="S341" i="74"/>
  <c r="H338" i="74"/>
  <c r="H337" i="74" s="1"/>
  <c r="I338" i="74"/>
  <c r="I337" i="74" s="1"/>
  <c r="J338" i="74"/>
  <c r="J337" i="74" s="1"/>
  <c r="K338" i="74"/>
  <c r="K337" i="74" s="1"/>
  <c r="L338" i="74"/>
  <c r="L337" i="74" s="1"/>
  <c r="M338" i="74"/>
  <c r="M337" i="74" s="1"/>
  <c r="N338" i="74"/>
  <c r="N337" i="74" s="1"/>
  <c r="O338" i="74"/>
  <c r="O337" i="74" s="1"/>
  <c r="P338" i="74"/>
  <c r="P337" i="74" s="1"/>
  <c r="Q338" i="74"/>
  <c r="Q337" i="74" s="1"/>
  <c r="R338" i="74"/>
  <c r="R337" i="74" s="1"/>
  <c r="H340" i="74"/>
  <c r="I340" i="74"/>
  <c r="J340" i="74"/>
  <c r="K340" i="74"/>
  <c r="L340" i="74"/>
  <c r="M340" i="74"/>
  <c r="N340" i="74"/>
  <c r="O340" i="74"/>
  <c r="P340" i="74"/>
  <c r="Q340" i="74"/>
  <c r="R340" i="74"/>
  <c r="G338" i="74"/>
  <c r="G340" i="74"/>
  <c r="H82" i="74"/>
  <c r="I82" i="74"/>
  <c r="J82" i="74"/>
  <c r="K82" i="74"/>
  <c r="L82" i="74"/>
  <c r="M82" i="74"/>
  <c r="N82" i="74"/>
  <c r="O82" i="74"/>
  <c r="P82" i="74"/>
  <c r="Q82" i="74"/>
  <c r="R82" i="74"/>
  <c r="H80" i="74"/>
  <c r="I80" i="74"/>
  <c r="J80" i="74"/>
  <c r="K80" i="74"/>
  <c r="L80" i="74"/>
  <c r="M80" i="74"/>
  <c r="N80" i="74"/>
  <c r="O80" i="74"/>
  <c r="P80" i="74"/>
  <c r="Q80" i="74"/>
  <c r="R80" i="74"/>
  <c r="G80" i="74"/>
  <c r="G82" i="74"/>
  <c r="S163" i="74"/>
  <c r="S165" i="74"/>
  <c r="H162" i="74"/>
  <c r="H161" i="74" s="1"/>
  <c r="I162" i="74"/>
  <c r="J162" i="74"/>
  <c r="J161" i="74" s="1"/>
  <c r="J158" i="74" s="1"/>
  <c r="J154" i="74" s="1"/>
  <c r="K162" i="74"/>
  <c r="K161" i="74" s="1"/>
  <c r="L162" i="74"/>
  <c r="L161" i="74" s="1"/>
  <c r="M162" i="74"/>
  <c r="M161" i="74" s="1"/>
  <c r="N162" i="74"/>
  <c r="N161" i="74" s="1"/>
  <c r="N158" i="74" s="1"/>
  <c r="N154" i="74" s="1"/>
  <c r="O162" i="74"/>
  <c r="O161" i="74" s="1"/>
  <c r="P162" i="74"/>
  <c r="P161" i="74" s="1"/>
  <c r="Q162" i="74"/>
  <c r="Q161" i="74" s="1"/>
  <c r="R162" i="74"/>
  <c r="R161" i="74" s="1"/>
  <c r="R158" i="74" s="1"/>
  <c r="R154" i="74" s="1"/>
  <c r="H164" i="74"/>
  <c r="I164" i="74"/>
  <c r="J164" i="74"/>
  <c r="K164" i="74"/>
  <c r="L164" i="74"/>
  <c r="M164" i="74"/>
  <c r="N164" i="74"/>
  <c r="O164" i="74"/>
  <c r="P164" i="74"/>
  <c r="Q164" i="74"/>
  <c r="R164" i="74"/>
  <c r="G162" i="74"/>
  <c r="G161" i="74" s="1"/>
  <c r="G158" i="74" s="1"/>
  <c r="G154" i="74" s="1"/>
  <c r="G164" i="74"/>
  <c r="H94" i="74"/>
  <c r="I94" i="74"/>
  <c r="J94" i="74"/>
  <c r="K94" i="74"/>
  <c r="L94" i="74"/>
  <c r="M94" i="74"/>
  <c r="N94" i="74"/>
  <c r="O94" i="74"/>
  <c r="P94" i="74"/>
  <c r="Q94" i="74"/>
  <c r="R94" i="74"/>
  <c r="H92" i="74"/>
  <c r="I92" i="74"/>
  <c r="J92" i="74"/>
  <c r="K92" i="74"/>
  <c r="L92" i="74"/>
  <c r="M92" i="74"/>
  <c r="N92" i="74"/>
  <c r="O92" i="74"/>
  <c r="P92" i="74"/>
  <c r="Q92" i="74"/>
  <c r="R92" i="74"/>
  <c r="G92" i="74"/>
  <c r="G94" i="74"/>
  <c r="G774" i="74"/>
  <c r="I864" i="74"/>
  <c r="J864" i="74"/>
  <c r="J862" i="74" s="1"/>
  <c r="K864" i="74"/>
  <c r="M864" i="74"/>
  <c r="N864" i="74"/>
  <c r="O864" i="74"/>
  <c r="P864" i="74"/>
  <c r="Q864" i="74"/>
  <c r="R864" i="74"/>
  <c r="S866" i="74"/>
  <c r="S754" i="74"/>
  <c r="H753" i="74"/>
  <c r="H752" i="74" s="1"/>
  <c r="H751" i="74" s="1"/>
  <c r="I753" i="74"/>
  <c r="J753" i="74"/>
  <c r="J752" i="74" s="1"/>
  <c r="J751" i="74" s="1"/>
  <c r="K753" i="74"/>
  <c r="K752" i="74" s="1"/>
  <c r="K751" i="74" s="1"/>
  <c r="L753" i="74"/>
  <c r="L752" i="74" s="1"/>
  <c r="L751" i="74" s="1"/>
  <c r="M753" i="74"/>
  <c r="M752" i="74" s="1"/>
  <c r="M751" i="74" s="1"/>
  <c r="N753" i="74"/>
  <c r="N752" i="74" s="1"/>
  <c r="N751" i="74" s="1"/>
  <c r="O753" i="74"/>
  <c r="O752" i="74" s="1"/>
  <c r="O751" i="74" s="1"/>
  <c r="P753" i="74"/>
  <c r="P752" i="74" s="1"/>
  <c r="P751" i="74" s="1"/>
  <c r="Q753" i="74"/>
  <c r="Q752" i="74" s="1"/>
  <c r="Q751" i="74" s="1"/>
  <c r="R753" i="74"/>
  <c r="R752" i="74" s="1"/>
  <c r="R751" i="74" s="1"/>
  <c r="G753" i="74"/>
  <c r="G752" i="74" s="1"/>
  <c r="G751" i="74" s="1"/>
  <c r="S493" i="74"/>
  <c r="S495" i="74"/>
  <c r="H492" i="74"/>
  <c r="H491" i="74" s="1"/>
  <c r="I492" i="74"/>
  <c r="I491" i="74" s="1"/>
  <c r="J492" i="74"/>
  <c r="J491" i="74" s="1"/>
  <c r="K492" i="74"/>
  <c r="K491" i="74" s="1"/>
  <c r="L492" i="74"/>
  <c r="L491" i="74" s="1"/>
  <c r="M492" i="74"/>
  <c r="M491" i="74" s="1"/>
  <c r="N492" i="74"/>
  <c r="N491" i="74" s="1"/>
  <c r="O492" i="74"/>
  <c r="O491" i="74" s="1"/>
  <c r="P492" i="74"/>
  <c r="P491" i="74" s="1"/>
  <c r="Q492" i="74"/>
  <c r="Q491" i="74" s="1"/>
  <c r="R492" i="74"/>
  <c r="R491" i="74" s="1"/>
  <c r="H494" i="74"/>
  <c r="I494" i="74"/>
  <c r="J494" i="74"/>
  <c r="K494" i="74"/>
  <c r="L494" i="74"/>
  <c r="M494" i="74"/>
  <c r="N494" i="74"/>
  <c r="O494" i="74"/>
  <c r="P494" i="74"/>
  <c r="Q494" i="74"/>
  <c r="R494" i="74"/>
  <c r="G492" i="74"/>
  <c r="G494" i="74"/>
  <c r="S687" i="74"/>
  <c r="S689" i="74"/>
  <c r="H686" i="74"/>
  <c r="I686" i="74"/>
  <c r="J686" i="74"/>
  <c r="K686" i="74"/>
  <c r="L686" i="74"/>
  <c r="M686" i="74"/>
  <c r="N686" i="74"/>
  <c r="O686" i="74"/>
  <c r="P686" i="74"/>
  <c r="Q686" i="74"/>
  <c r="R686" i="74"/>
  <c r="H688" i="74"/>
  <c r="I688" i="74"/>
  <c r="J688" i="74"/>
  <c r="K688" i="74"/>
  <c r="L688" i="74"/>
  <c r="M688" i="74"/>
  <c r="N688" i="74"/>
  <c r="O688" i="74"/>
  <c r="P688" i="74"/>
  <c r="Q688" i="74"/>
  <c r="R688" i="74"/>
  <c r="G686" i="74"/>
  <c r="G688" i="74"/>
  <c r="H705" i="74"/>
  <c r="I705" i="74"/>
  <c r="J705" i="74"/>
  <c r="K705" i="74"/>
  <c r="L705" i="74"/>
  <c r="M705" i="74"/>
  <c r="N705" i="74"/>
  <c r="O705" i="74"/>
  <c r="P705" i="74"/>
  <c r="Q705" i="74"/>
  <c r="R705" i="74"/>
  <c r="G705" i="74"/>
  <c r="S708" i="74"/>
  <c r="H707" i="74"/>
  <c r="I707" i="74"/>
  <c r="J707" i="74"/>
  <c r="K707" i="74"/>
  <c r="L707" i="74"/>
  <c r="M707" i="74"/>
  <c r="N707" i="74"/>
  <c r="O707" i="74"/>
  <c r="P707" i="74"/>
  <c r="Q707" i="74"/>
  <c r="R707" i="74"/>
  <c r="G707" i="74"/>
  <c r="S706" i="74"/>
  <c r="S577" i="74"/>
  <c r="H576" i="74"/>
  <c r="I576" i="74"/>
  <c r="J576" i="74"/>
  <c r="K576" i="74"/>
  <c r="L576" i="74"/>
  <c r="M576" i="74"/>
  <c r="N576" i="74"/>
  <c r="O576" i="74"/>
  <c r="P576" i="74"/>
  <c r="Q576" i="74"/>
  <c r="R576" i="74"/>
  <c r="S570" i="74"/>
  <c r="H569" i="74"/>
  <c r="I569" i="74"/>
  <c r="J569" i="74"/>
  <c r="K569" i="74"/>
  <c r="L569" i="74"/>
  <c r="M569" i="74"/>
  <c r="N569" i="74"/>
  <c r="O569" i="74"/>
  <c r="P569" i="74"/>
  <c r="Q569" i="74"/>
  <c r="R569" i="74"/>
  <c r="G569" i="74"/>
  <c r="F556" i="76"/>
  <c r="E556" i="76"/>
  <c r="F555" i="76"/>
  <c r="E555" i="76"/>
  <c r="F553" i="76"/>
  <c r="F546" i="76" s="1"/>
  <c r="E553" i="76"/>
  <c r="E546" i="76" s="1"/>
  <c r="F545" i="76"/>
  <c r="F544" i="76" s="1"/>
  <c r="E545" i="76"/>
  <c r="E544" i="76" s="1"/>
  <c r="F543" i="76"/>
  <c r="F542" i="76" s="1"/>
  <c r="E543" i="76"/>
  <c r="E542" i="76" s="1"/>
  <c r="F534" i="76"/>
  <c r="F533" i="76" s="1"/>
  <c r="E534" i="76"/>
  <c r="E533" i="76" s="1"/>
  <c r="F521" i="76"/>
  <c r="E521" i="76"/>
  <c r="F520" i="76"/>
  <c r="E520" i="76"/>
  <c r="F518" i="76"/>
  <c r="F517" i="76" s="1"/>
  <c r="E518" i="76"/>
  <c r="E517" i="76" s="1"/>
  <c r="F512" i="76"/>
  <c r="F510" i="76" s="1"/>
  <c r="E512" i="76"/>
  <c r="E510" i="76" s="1"/>
  <c r="F495" i="76"/>
  <c r="F494" i="76" s="1"/>
  <c r="E495" i="76"/>
  <c r="E494" i="76" s="1"/>
  <c r="F493" i="76"/>
  <c r="F492" i="76" s="1"/>
  <c r="E493" i="76"/>
  <c r="E492" i="76" s="1"/>
  <c r="F487" i="76"/>
  <c r="F486" i="76" s="1"/>
  <c r="E487" i="76"/>
  <c r="E486" i="76" s="1"/>
  <c r="F485" i="76"/>
  <c r="F483" i="76" s="1"/>
  <c r="E485" i="76"/>
  <c r="E483" i="76" s="1"/>
  <c r="F482" i="76"/>
  <c r="F481" i="76" s="1"/>
  <c r="E482" i="76"/>
  <c r="E481" i="76" s="1"/>
  <c r="F480" i="76"/>
  <c r="F479" i="76" s="1"/>
  <c r="E480" i="76"/>
  <c r="E479" i="76" s="1"/>
  <c r="F478" i="76"/>
  <c r="F477" i="76" s="1"/>
  <c r="E478" i="76"/>
  <c r="E477" i="76" s="1"/>
  <c r="F476" i="76"/>
  <c r="E476" i="76"/>
  <c r="F475" i="76"/>
  <c r="E475" i="76"/>
  <c r="F474" i="76"/>
  <c r="E474" i="76"/>
  <c r="F472" i="76"/>
  <c r="F471" i="76" s="1"/>
  <c r="E472" i="76"/>
  <c r="E471" i="76" s="1"/>
  <c r="F470" i="76"/>
  <c r="F469" i="76" s="1"/>
  <c r="E470" i="76"/>
  <c r="E469" i="76" s="1"/>
  <c r="F467" i="76"/>
  <c r="F466" i="76" s="1"/>
  <c r="E467" i="76"/>
  <c r="E466" i="76" s="1"/>
  <c r="F462" i="76"/>
  <c r="E462" i="76"/>
  <c r="F461" i="76"/>
  <c r="E461" i="76"/>
  <c r="F456" i="76"/>
  <c r="F455" i="76" s="1"/>
  <c r="E456" i="76"/>
  <c r="E455" i="76" s="1"/>
  <c r="F454" i="76"/>
  <c r="F453" i="76" s="1"/>
  <c r="E454" i="76"/>
  <c r="E453" i="76" s="1"/>
  <c r="F452" i="76"/>
  <c r="F451" i="76" s="1"/>
  <c r="E452" i="76"/>
  <c r="E451" i="76" s="1"/>
  <c r="F450" i="76"/>
  <c r="F449" i="76" s="1"/>
  <c r="E450" i="76"/>
  <c r="E449" i="76" s="1"/>
  <c r="F448" i="76"/>
  <c r="F447" i="76" s="1"/>
  <c r="E448" i="76"/>
  <c r="E447" i="76" s="1"/>
  <c r="F446" i="76"/>
  <c r="F445" i="76" s="1"/>
  <c r="E446" i="76"/>
  <c r="E445" i="76" s="1"/>
  <c r="F436" i="76"/>
  <c r="F435" i="76" s="1"/>
  <c r="F434" i="76" s="1"/>
  <c r="E436" i="76"/>
  <c r="E435" i="76" s="1"/>
  <c r="E434" i="76" s="1"/>
  <c r="F424" i="76"/>
  <c r="F423" i="76" s="1"/>
  <c r="F422" i="76" s="1"/>
  <c r="E424" i="76"/>
  <c r="E423" i="76" s="1"/>
  <c r="E422" i="76" s="1"/>
  <c r="F413" i="76"/>
  <c r="F412" i="76" s="1"/>
  <c r="F407" i="76" s="1"/>
  <c r="E413" i="76"/>
  <c r="E412" i="76" s="1"/>
  <c r="E407" i="76" s="1"/>
  <c r="F399" i="76"/>
  <c r="F398" i="76" s="1"/>
  <c r="E399" i="76"/>
  <c r="E398" i="76" s="1"/>
  <c r="F397" i="76"/>
  <c r="F396" i="76" s="1"/>
  <c r="E397" i="76"/>
  <c r="E396" i="76" s="1"/>
  <c r="F393" i="76"/>
  <c r="F391" i="76" s="1"/>
  <c r="E393" i="76"/>
  <c r="E391" i="76" s="1"/>
  <c r="F377" i="76"/>
  <c r="F376" i="76" s="1"/>
  <c r="E377" i="76"/>
  <c r="E376" i="76" s="1"/>
  <c r="F372" i="76"/>
  <c r="F371" i="76" s="1"/>
  <c r="E372" i="76"/>
  <c r="E371" i="76" s="1"/>
  <c r="F370" i="76"/>
  <c r="F369" i="76" s="1"/>
  <c r="E370" i="76"/>
  <c r="E369" i="76" s="1"/>
  <c r="F366" i="76"/>
  <c r="F365" i="76" s="1"/>
  <c r="E366" i="76"/>
  <c r="E365" i="76" s="1"/>
  <c r="F364" i="76"/>
  <c r="E364" i="76"/>
  <c r="F363" i="76"/>
  <c r="E363" i="76"/>
  <c r="F361" i="76"/>
  <c r="F360" i="76" s="1"/>
  <c r="E361" i="76"/>
  <c r="E360" i="76" s="1"/>
  <c r="F359" i="76"/>
  <c r="F358" i="76" s="1"/>
  <c r="E359" i="76"/>
  <c r="E358" i="76" s="1"/>
  <c r="F357" i="76"/>
  <c r="E357" i="76"/>
  <c r="F356" i="76"/>
  <c r="E356" i="76"/>
  <c r="F355" i="76"/>
  <c r="E355" i="76"/>
  <c r="F353" i="76"/>
  <c r="F352" i="76" s="1"/>
  <c r="E353" i="76"/>
  <c r="E352" i="76" s="1"/>
  <c r="F351" i="76"/>
  <c r="E351" i="76"/>
  <c r="F350" i="76"/>
  <c r="E350" i="76"/>
  <c r="F348" i="76"/>
  <c r="E348" i="76"/>
  <c r="F347" i="76"/>
  <c r="E347" i="76"/>
  <c r="F346" i="76"/>
  <c r="E346" i="76"/>
  <c r="F344" i="76"/>
  <c r="E344" i="76"/>
  <c r="F343" i="76"/>
  <c r="E343" i="76"/>
  <c r="F342" i="76"/>
  <c r="E342" i="76"/>
  <c r="F339" i="76"/>
  <c r="E339" i="76"/>
  <c r="F338" i="76"/>
  <c r="E338" i="76"/>
  <c r="F336" i="76"/>
  <c r="E336" i="76"/>
  <c r="F334" i="76"/>
  <c r="E334" i="76"/>
  <c r="F333" i="76"/>
  <c r="E333" i="76"/>
  <c r="F331" i="76"/>
  <c r="F330" i="76" s="1"/>
  <c r="E331" i="76"/>
  <c r="E330" i="76" s="1"/>
  <c r="F329" i="76"/>
  <c r="F328" i="76" s="1"/>
  <c r="E329" i="76"/>
  <c r="E328" i="76" s="1"/>
  <c r="F324" i="76"/>
  <c r="F323" i="76" s="1"/>
  <c r="E324" i="76"/>
  <c r="E323" i="76" s="1"/>
  <c r="F322" i="76"/>
  <c r="F321" i="76" s="1"/>
  <c r="E322" i="76"/>
  <c r="E321" i="76" s="1"/>
  <c r="F320" i="76"/>
  <c r="F319" i="76" s="1"/>
  <c r="E320" i="76"/>
  <c r="E319" i="76" s="1"/>
  <c r="F308" i="76"/>
  <c r="F307" i="76" s="1"/>
  <c r="F306" i="76" s="1"/>
  <c r="E308" i="76"/>
  <c r="E307" i="76" s="1"/>
  <c r="E306" i="76" s="1"/>
  <c r="F305" i="76"/>
  <c r="E305" i="76"/>
  <c r="F304" i="76"/>
  <c r="E304" i="76"/>
  <c r="F302" i="76"/>
  <c r="E302" i="76"/>
  <c r="F301" i="76"/>
  <c r="E301" i="76"/>
  <c r="F299" i="76"/>
  <c r="F298" i="76" s="1"/>
  <c r="E299" i="76"/>
  <c r="E298" i="76" s="1"/>
  <c r="F297" i="76"/>
  <c r="E297" i="76"/>
  <c r="F296" i="76"/>
  <c r="E296" i="76"/>
  <c r="F294" i="76"/>
  <c r="F293" i="76" s="1"/>
  <c r="E294" i="76"/>
  <c r="E293" i="76" s="1"/>
  <c r="F287" i="76"/>
  <c r="F286" i="76" s="1"/>
  <c r="E287" i="76"/>
  <c r="E286" i="76" s="1"/>
  <c r="F285" i="76"/>
  <c r="F284" i="76" s="1"/>
  <c r="E285" i="76"/>
  <c r="E284" i="76" s="1"/>
  <c r="F257" i="76"/>
  <c r="F256" i="76" s="1"/>
  <c r="F253" i="76" s="1"/>
  <c r="E257" i="76"/>
  <c r="E256" i="76" s="1"/>
  <c r="E253" i="76" s="1"/>
  <c r="F252" i="76"/>
  <c r="F251" i="76" s="1"/>
  <c r="E252" i="76"/>
  <c r="E251" i="76" s="1"/>
  <c r="F233" i="76"/>
  <c r="F232" i="76" s="1"/>
  <c r="E233" i="76"/>
  <c r="E232" i="76" s="1"/>
  <c r="F231" i="76"/>
  <c r="F230" i="76" s="1"/>
  <c r="E231" i="76"/>
  <c r="E230" i="76" s="1"/>
  <c r="F229" i="76"/>
  <c r="F228" i="76" s="1"/>
  <c r="E229" i="76"/>
  <c r="E228" i="76" s="1"/>
  <c r="F227" i="76"/>
  <c r="F226" i="76" s="1"/>
  <c r="E227" i="76"/>
  <c r="E226" i="76" s="1"/>
  <c r="F224" i="76"/>
  <c r="F221" i="76" s="1"/>
  <c r="E224" i="76"/>
  <c r="E221" i="76" s="1"/>
  <c r="F220" i="76"/>
  <c r="F219" i="76" s="1"/>
  <c r="E220" i="76"/>
  <c r="E219" i="76" s="1"/>
  <c r="F217" i="76"/>
  <c r="F216" i="76" s="1"/>
  <c r="E217" i="76"/>
  <c r="E216" i="76" s="1"/>
  <c r="F214" i="76"/>
  <c r="F213" i="76" s="1"/>
  <c r="F212" i="76" s="1"/>
  <c r="E214" i="76"/>
  <c r="E213" i="76" s="1"/>
  <c r="E212" i="76" s="1"/>
  <c r="F208" i="76"/>
  <c r="F207" i="76" s="1"/>
  <c r="E208" i="76"/>
  <c r="E207" i="76" s="1"/>
  <c r="F206" i="76"/>
  <c r="F205" i="76" s="1"/>
  <c r="E206" i="76"/>
  <c r="E205" i="76" s="1"/>
  <c r="F203" i="76"/>
  <c r="E203" i="76"/>
  <c r="F202" i="76"/>
  <c r="E202" i="76"/>
  <c r="F199" i="76"/>
  <c r="F198" i="76" s="1"/>
  <c r="E199" i="76"/>
  <c r="E198" i="76" s="1"/>
  <c r="F196" i="76"/>
  <c r="F195" i="76" s="1"/>
  <c r="E196" i="76"/>
  <c r="E195" i="76" s="1"/>
  <c r="F194" i="76"/>
  <c r="F193" i="76" s="1"/>
  <c r="E194" i="76"/>
  <c r="E193" i="76" s="1"/>
  <c r="F179" i="76"/>
  <c r="F178" i="76" s="1"/>
  <c r="E179" i="76"/>
  <c r="E178" i="76" s="1"/>
  <c r="F177" i="76"/>
  <c r="F176" i="76" s="1"/>
  <c r="E177" i="76"/>
  <c r="E176" i="76" s="1"/>
  <c r="F175" i="76"/>
  <c r="F174" i="76" s="1"/>
  <c r="E175" i="76"/>
  <c r="E174" i="76" s="1"/>
  <c r="F173" i="76"/>
  <c r="F172" i="76" s="1"/>
  <c r="E173" i="76"/>
  <c r="E172" i="76" s="1"/>
  <c r="F171" i="76"/>
  <c r="F170" i="76" s="1"/>
  <c r="E171" i="76"/>
  <c r="E170" i="76" s="1"/>
  <c r="F169" i="76"/>
  <c r="F168" i="76" s="1"/>
  <c r="E169" i="76"/>
  <c r="E168" i="76" s="1"/>
  <c r="F167" i="76"/>
  <c r="F166" i="76" s="1"/>
  <c r="E167" i="76"/>
  <c r="E166" i="76" s="1"/>
  <c r="F165" i="76"/>
  <c r="F164" i="76" s="1"/>
  <c r="E165" i="76"/>
  <c r="E164" i="76" s="1"/>
  <c r="F161" i="76"/>
  <c r="F160" i="76" s="1"/>
  <c r="E161" i="76"/>
  <c r="E160" i="76" s="1"/>
  <c r="F159" i="76"/>
  <c r="F158" i="76" s="1"/>
  <c r="E159" i="76"/>
  <c r="E158" i="76" s="1"/>
  <c r="F150" i="76"/>
  <c r="E150" i="76"/>
  <c r="F149" i="76"/>
  <c r="E149" i="76"/>
  <c r="F146" i="76"/>
  <c r="F145" i="76" s="1"/>
  <c r="F144" i="76" s="1"/>
  <c r="E146" i="76"/>
  <c r="E145" i="76" s="1"/>
  <c r="E144" i="76" s="1"/>
  <c r="F141" i="76"/>
  <c r="F140" i="76" s="1"/>
  <c r="E141" i="76"/>
  <c r="E140" i="76" s="1"/>
  <c r="F139" i="76"/>
  <c r="F138" i="76" s="1"/>
  <c r="E139" i="76"/>
  <c r="E138" i="76" s="1"/>
  <c r="F132" i="76"/>
  <c r="F131" i="76" s="1"/>
  <c r="F130" i="76" s="1"/>
  <c r="E132" i="76"/>
  <c r="E131" i="76" s="1"/>
  <c r="E130" i="76" s="1"/>
  <c r="F129" i="76"/>
  <c r="F128" i="76" s="1"/>
  <c r="E129" i="76"/>
  <c r="E128" i="76" s="1"/>
  <c r="F120" i="76"/>
  <c r="F119" i="76" s="1"/>
  <c r="E120" i="76"/>
  <c r="E119" i="76" s="1"/>
  <c r="F118" i="76"/>
  <c r="F117" i="76" s="1"/>
  <c r="E118" i="76"/>
  <c r="E117" i="76" s="1"/>
  <c r="F113" i="76"/>
  <c r="F112" i="76" s="1"/>
  <c r="E113" i="76"/>
  <c r="E112" i="76" s="1"/>
  <c r="F109" i="76"/>
  <c r="F108" i="76" s="1"/>
  <c r="E109" i="76"/>
  <c r="E108" i="76" s="1"/>
  <c r="F92" i="76"/>
  <c r="F91" i="76" s="1"/>
  <c r="E92" i="76"/>
  <c r="E91" i="76" s="1"/>
  <c r="F89" i="76"/>
  <c r="E89" i="76"/>
  <c r="F88" i="76"/>
  <c r="E88" i="76"/>
  <c r="F83" i="76"/>
  <c r="E83" i="76"/>
  <c r="F82" i="76"/>
  <c r="E82" i="76"/>
  <c r="F77" i="76"/>
  <c r="E77" i="76"/>
  <c r="F76" i="76"/>
  <c r="E76" i="76"/>
  <c r="F74" i="76"/>
  <c r="E74" i="76"/>
  <c r="F73" i="76"/>
  <c r="E73" i="76"/>
  <c r="F68" i="76"/>
  <c r="F67" i="76" s="1"/>
  <c r="E68" i="76"/>
  <c r="E67" i="76" s="1"/>
  <c r="F66" i="76"/>
  <c r="F65" i="76" s="1"/>
  <c r="E66" i="76"/>
  <c r="E65" i="76" s="1"/>
  <c r="F58" i="76"/>
  <c r="F57" i="76" s="1"/>
  <c r="E58" i="76"/>
  <c r="E57" i="76" s="1"/>
  <c r="F56" i="76"/>
  <c r="E56" i="76"/>
  <c r="F55" i="76"/>
  <c r="E55" i="76"/>
  <c r="F53" i="76"/>
  <c r="E53" i="76"/>
  <c r="F52" i="76"/>
  <c r="E52" i="76"/>
  <c r="F49" i="76"/>
  <c r="E49" i="76"/>
  <c r="F48" i="76"/>
  <c r="E48" i="76"/>
  <c r="F45" i="76"/>
  <c r="F44" i="76" s="1"/>
  <c r="E45" i="76"/>
  <c r="E44" i="76" s="1"/>
  <c r="F43" i="76"/>
  <c r="E43" i="76"/>
  <c r="F42" i="76"/>
  <c r="E42" i="76"/>
  <c r="F41" i="76"/>
  <c r="E41" i="76"/>
  <c r="F39" i="76"/>
  <c r="E39" i="76"/>
  <c r="F38" i="76"/>
  <c r="E38" i="76"/>
  <c r="F37" i="76"/>
  <c r="E37" i="76"/>
  <c r="F34" i="76"/>
  <c r="F33" i="76" s="1"/>
  <c r="E34" i="76"/>
  <c r="E33" i="76" s="1"/>
  <c r="F32" i="76"/>
  <c r="E32" i="76"/>
  <c r="F30" i="76"/>
  <c r="E30" i="76"/>
  <c r="F29" i="76"/>
  <c r="E29" i="76"/>
  <c r="F27" i="76"/>
  <c r="E27" i="76"/>
  <c r="F26" i="76"/>
  <c r="E26" i="76"/>
  <c r="F25" i="76"/>
  <c r="E25" i="76"/>
  <c r="F22" i="76"/>
  <c r="E22" i="76"/>
  <c r="F21" i="76"/>
  <c r="E21" i="76"/>
  <c r="F20" i="76"/>
  <c r="E20" i="76"/>
  <c r="F18" i="76"/>
  <c r="E18" i="76"/>
  <c r="F17" i="76"/>
  <c r="E17" i="76"/>
  <c r="F16" i="76"/>
  <c r="E16" i="76"/>
  <c r="H62" i="75"/>
  <c r="G62" i="75"/>
  <c r="H61" i="75"/>
  <c r="G61" i="75"/>
  <c r="H59" i="75"/>
  <c r="H58" i="75" s="1"/>
  <c r="G59" i="75"/>
  <c r="G58" i="75" s="1"/>
  <c r="H56" i="75"/>
  <c r="H55" i="75" s="1"/>
  <c r="G56" i="75"/>
  <c r="G55" i="75" s="1"/>
  <c r="H53" i="75"/>
  <c r="G53" i="75"/>
  <c r="H52" i="75"/>
  <c r="G52" i="75"/>
  <c r="H51" i="75"/>
  <c r="G51" i="75"/>
  <c r="H49" i="75"/>
  <c r="H48" i="75" s="1"/>
  <c r="G49" i="75"/>
  <c r="G48" i="75" s="1"/>
  <c r="H47" i="75"/>
  <c r="G47" i="75"/>
  <c r="H46" i="75"/>
  <c r="G46" i="75"/>
  <c r="H44" i="75"/>
  <c r="G44" i="75"/>
  <c r="H43" i="75"/>
  <c r="G43" i="75"/>
  <c r="H42" i="75"/>
  <c r="H41" i="75" s="1"/>
  <c r="G42" i="75"/>
  <c r="G41" i="75" s="1"/>
  <c r="H39" i="75"/>
  <c r="G39" i="75"/>
  <c r="H38" i="75"/>
  <c r="G38" i="75"/>
  <c r="F38" i="75"/>
  <c r="H36" i="75"/>
  <c r="G36" i="75"/>
  <c r="H35" i="75"/>
  <c r="G35" i="75"/>
  <c r="H34" i="75"/>
  <c r="G34" i="75"/>
  <c r="H33" i="75"/>
  <c r="G33" i="75"/>
  <c r="H31" i="75"/>
  <c r="G31" i="75"/>
  <c r="H30" i="75"/>
  <c r="G30" i="75"/>
  <c r="H29" i="75"/>
  <c r="G29" i="75"/>
  <c r="H28" i="75"/>
  <c r="H26" i="75" s="1"/>
  <c r="G28" i="75"/>
  <c r="G26" i="75" s="1"/>
  <c r="H25" i="75"/>
  <c r="G25" i="75"/>
  <c r="H24" i="75"/>
  <c r="G24" i="75"/>
  <c r="H22" i="75"/>
  <c r="H21" i="75" s="1"/>
  <c r="G22" i="75"/>
  <c r="G21" i="75" s="1"/>
  <c r="F22" i="75"/>
  <c r="F21" i="75" s="1"/>
  <c r="H20" i="75"/>
  <c r="G20" i="75"/>
  <c r="H19" i="75"/>
  <c r="G19" i="75"/>
  <c r="H17" i="75"/>
  <c r="G17" i="75"/>
  <c r="H16" i="75"/>
  <c r="G16" i="75"/>
  <c r="H15" i="75"/>
  <c r="G15" i="75"/>
  <c r="H14" i="75"/>
  <c r="G14" i="75"/>
  <c r="H13" i="75"/>
  <c r="H12" i="75" s="1"/>
  <c r="G13" i="75"/>
  <c r="G12" i="75" s="1"/>
  <c r="S917" i="74"/>
  <c r="S904" i="74"/>
  <c r="R903" i="74"/>
  <c r="R902" i="74" s="1"/>
  <c r="R901" i="74" s="1"/>
  <c r="R900" i="74" s="1"/>
  <c r="Q903" i="74"/>
  <c r="Q902" i="74" s="1"/>
  <c r="Q901" i="74" s="1"/>
  <c r="Q900" i="74" s="1"/>
  <c r="P903" i="74"/>
  <c r="P902" i="74" s="1"/>
  <c r="P901" i="74" s="1"/>
  <c r="P900" i="74" s="1"/>
  <c r="O903" i="74"/>
  <c r="O902" i="74" s="1"/>
  <c r="O901" i="74" s="1"/>
  <c r="O900" i="74" s="1"/>
  <c r="N903" i="74"/>
  <c r="N902" i="74" s="1"/>
  <c r="N901" i="74" s="1"/>
  <c r="N900" i="74" s="1"/>
  <c r="M903" i="74"/>
  <c r="M902" i="74" s="1"/>
  <c r="M901" i="74" s="1"/>
  <c r="M900" i="74" s="1"/>
  <c r="L903" i="74"/>
  <c r="L902" i="74" s="1"/>
  <c r="L901" i="74" s="1"/>
  <c r="L900" i="74" s="1"/>
  <c r="K903" i="74"/>
  <c r="K902" i="74" s="1"/>
  <c r="K901" i="74" s="1"/>
  <c r="K900" i="74" s="1"/>
  <c r="J903" i="74"/>
  <c r="I903" i="74"/>
  <c r="I902" i="74" s="1"/>
  <c r="I901" i="74" s="1"/>
  <c r="I900" i="74" s="1"/>
  <c r="H903" i="74"/>
  <c r="H902" i="74" s="1"/>
  <c r="H901" i="74" s="1"/>
  <c r="H900" i="74" s="1"/>
  <c r="G903" i="74"/>
  <c r="G902" i="74" s="1"/>
  <c r="G901" i="74" s="1"/>
  <c r="G900" i="74" s="1"/>
  <c r="S899" i="74"/>
  <c r="D564" i="76" s="1"/>
  <c r="S898" i="74"/>
  <c r="D563" i="76" s="1"/>
  <c r="R897" i="74"/>
  <c r="Q897" i="74"/>
  <c r="P897" i="74"/>
  <c r="O897" i="74"/>
  <c r="N897" i="74"/>
  <c r="M897" i="74"/>
  <c r="L897" i="74"/>
  <c r="K897" i="74"/>
  <c r="J897" i="74"/>
  <c r="I897" i="74"/>
  <c r="G897" i="74"/>
  <c r="S888" i="74"/>
  <c r="R887" i="74"/>
  <c r="R886" i="74" s="1"/>
  <c r="R885" i="74" s="1"/>
  <c r="Q887" i="74"/>
  <c r="Q886" i="74" s="1"/>
  <c r="Q885" i="74" s="1"/>
  <c r="P887" i="74"/>
  <c r="P886" i="74" s="1"/>
  <c r="P885" i="74" s="1"/>
  <c r="O887" i="74"/>
  <c r="O886" i="74" s="1"/>
  <c r="O885" i="74" s="1"/>
  <c r="N887" i="74"/>
  <c r="N886" i="74" s="1"/>
  <c r="N885" i="74" s="1"/>
  <c r="M887" i="74"/>
  <c r="M886" i="74" s="1"/>
  <c r="M885" i="74" s="1"/>
  <c r="L887" i="74"/>
  <c r="L886" i="74" s="1"/>
  <c r="L885" i="74" s="1"/>
  <c r="K887" i="74"/>
  <c r="K886" i="74" s="1"/>
  <c r="K885" i="74" s="1"/>
  <c r="J887" i="74"/>
  <c r="J886" i="74" s="1"/>
  <c r="J885" i="74" s="1"/>
  <c r="I887" i="74"/>
  <c r="I886" i="74" s="1"/>
  <c r="I885" i="74" s="1"/>
  <c r="H887" i="74"/>
  <c r="H886" i="74" s="1"/>
  <c r="H885" i="74" s="1"/>
  <c r="G887" i="74"/>
  <c r="S884" i="74"/>
  <c r="D556" i="76" s="1"/>
  <c r="D555" i="76" s="1"/>
  <c r="R883" i="74"/>
  <c r="R882" i="74" s="1"/>
  <c r="R881" i="74" s="1"/>
  <c r="R880" i="74" s="1"/>
  <c r="Q883" i="74"/>
  <c r="Q882" i="74" s="1"/>
  <c r="Q881" i="74" s="1"/>
  <c r="Q880" i="74" s="1"/>
  <c r="P883" i="74"/>
  <c r="P882" i="74" s="1"/>
  <c r="P881" i="74" s="1"/>
  <c r="P880" i="74" s="1"/>
  <c r="O883" i="74"/>
  <c r="O882" i="74" s="1"/>
  <c r="O881" i="74" s="1"/>
  <c r="O880" i="74" s="1"/>
  <c r="N883" i="74"/>
  <c r="N882" i="74" s="1"/>
  <c r="N881" i="74" s="1"/>
  <c r="N880" i="74" s="1"/>
  <c r="M883" i="74"/>
  <c r="M882" i="74" s="1"/>
  <c r="M881" i="74" s="1"/>
  <c r="M880" i="74" s="1"/>
  <c r="L883" i="74"/>
  <c r="L882" i="74" s="1"/>
  <c r="L881" i="74" s="1"/>
  <c r="L880" i="74" s="1"/>
  <c r="K883" i="74"/>
  <c r="K882" i="74" s="1"/>
  <c r="K881" i="74" s="1"/>
  <c r="K880" i="74" s="1"/>
  <c r="J883" i="74"/>
  <c r="J882" i="74" s="1"/>
  <c r="J881" i="74" s="1"/>
  <c r="J880" i="74" s="1"/>
  <c r="I883" i="74"/>
  <c r="I882" i="74" s="1"/>
  <c r="I881" i="74" s="1"/>
  <c r="I880" i="74" s="1"/>
  <c r="H883" i="74"/>
  <c r="H882" i="74" s="1"/>
  <c r="H881" i="74" s="1"/>
  <c r="H880" i="74" s="1"/>
  <c r="G883" i="74"/>
  <c r="S877" i="74"/>
  <c r="S872" i="74"/>
  <c r="G871" i="74"/>
  <c r="G870" i="74" s="1"/>
  <c r="G869" i="74" s="1"/>
  <c r="G868" i="74" s="1"/>
  <c r="R862" i="74"/>
  <c r="Q862" i="74"/>
  <c r="P862" i="74"/>
  <c r="O862" i="74"/>
  <c r="N862" i="74"/>
  <c r="M862" i="74"/>
  <c r="K862" i="74"/>
  <c r="I862" i="74"/>
  <c r="R860" i="74"/>
  <c r="Q860" i="74"/>
  <c r="P860" i="74"/>
  <c r="O860" i="74"/>
  <c r="N860" i="74"/>
  <c r="M860" i="74"/>
  <c r="L860" i="74"/>
  <c r="K860" i="74"/>
  <c r="J860" i="74"/>
  <c r="I860" i="74"/>
  <c r="G860" i="74"/>
  <c r="S856" i="74"/>
  <c r="R855" i="74"/>
  <c r="Q855" i="74"/>
  <c r="P855" i="74"/>
  <c r="O855" i="74"/>
  <c r="N855" i="74"/>
  <c r="M855" i="74"/>
  <c r="L855" i="74"/>
  <c r="K855" i="74"/>
  <c r="J855" i="74"/>
  <c r="I855" i="74"/>
  <c r="H855" i="74"/>
  <c r="G855" i="74"/>
  <c r="S854" i="74"/>
  <c r="D463" i="76" s="1"/>
  <c r="S853" i="74"/>
  <c r="S852" i="74"/>
  <c r="S851" i="74"/>
  <c r="R850" i="74"/>
  <c r="Q850" i="74"/>
  <c r="P850" i="74"/>
  <c r="O850" i="74"/>
  <c r="N850" i="74"/>
  <c r="M850" i="74"/>
  <c r="L850" i="74"/>
  <c r="K850" i="74"/>
  <c r="J850" i="74"/>
  <c r="I850" i="74"/>
  <c r="H850" i="74"/>
  <c r="G850" i="74"/>
  <c r="S849" i="74"/>
  <c r="R848" i="74"/>
  <c r="R847" i="74" s="1"/>
  <c r="Q848" i="74"/>
  <c r="Q847" i="74" s="1"/>
  <c r="P848" i="74"/>
  <c r="P847" i="74" s="1"/>
  <c r="O848" i="74"/>
  <c r="O847" i="74" s="1"/>
  <c r="N848" i="74"/>
  <c r="N847" i="74" s="1"/>
  <c r="M848" i="74"/>
  <c r="M847" i="74" s="1"/>
  <c r="L848" i="74"/>
  <c r="L847" i="74" s="1"/>
  <c r="K848" i="74"/>
  <c r="K847" i="74" s="1"/>
  <c r="J848" i="74"/>
  <c r="I848" i="74"/>
  <c r="I847" i="74" s="1"/>
  <c r="H848" i="74"/>
  <c r="H847" i="74" s="1"/>
  <c r="G848" i="74"/>
  <c r="G847" i="74" s="1"/>
  <c r="S846" i="74"/>
  <c r="R845" i="74"/>
  <c r="R844" i="74" s="1"/>
  <c r="Q845" i="74"/>
  <c r="Q844" i="74" s="1"/>
  <c r="P845" i="74"/>
  <c r="P844" i="74" s="1"/>
  <c r="O845" i="74"/>
  <c r="O844" i="74" s="1"/>
  <c r="N845" i="74"/>
  <c r="N844" i="74" s="1"/>
  <c r="M845" i="74"/>
  <c r="M844" i="74" s="1"/>
  <c r="L845" i="74"/>
  <c r="L844" i="74" s="1"/>
  <c r="K845" i="74"/>
  <c r="K844" i="74" s="1"/>
  <c r="J845" i="74"/>
  <c r="J844" i="74" s="1"/>
  <c r="I845" i="74"/>
  <c r="I844" i="74" s="1"/>
  <c r="H845" i="74"/>
  <c r="H844" i="74" s="1"/>
  <c r="G845" i="74"/>
  <c r="S843" i="74"/>
  <c r="R842" i="74"/>
  <c r="Q842" i="74"/>
  <c r="P842" i="74"/>
  <c r="O842" i="74"/>
  <c r="N842" i="74"/>
  <c r="M842" i="74"/>
  <c r="L842" i="74"/>
  <c r="K842" i="74"/>
  <c r="J842" i="74"/>
  <c r="I842" i="74"/>
  <c r="H842" i="74"/>
  <c r="G842" i="74"/>
  <c r="S841" i="74"/>
  <c r="H840" i="74"/>
  <c r="R840" i="74"/>
  <c r="Q840" i="74"/>
  <c r="P840" i="74"/>
  <c r="O840" i="74"/>
  <c r="N840" i="74"/>
  <c r="M840" i="74"/>
  <c r="L840" i="74"/>
  <c r="K840" i="74"/>
  <c r="J840" i="74"/>
  <c r="I840" i="74"/>
  <c r="G840" i="74"/>
  <c r="S833" i="74"/>
  <c r="S832" i="74"/>
  <c r="S829" i="74"/>
  <c r="R828" i="74"/>
  <c r="Q828" i="74"/>
  <c r="P828" i="74"/>
  <c r="O828" i="74"/>
  <c r="N828" i="74"/>
  <c r="M828" i="74"/>
  <c r="L828" i="74"/>
  <c r="K828" i="74"/>
  <c r="J828" i="74"/>
  <c r="I828" i="74"/>
  <c r="H828" i="74"/>
  <c r="G828" i="74"/>
  <c r="S827" i="74"/>
  <c r="G826" i="74"/>
  <c r="G825" i="74" s="1"/>
  <c r="R826" i="74"/>
  <c r="R825" i="74" s="1"/>
  <c r="Q826" i="74"/>
  <c r="Q825" i="74" s="1"/>
  <c r="P826" i="74"/>
  <c r="P825" i="74" s="1"/>
  <c r="O826" i="74"/>
  <c r="O825" i="74" s="1"/>
  <c r="N826" i="74"/>
  <c r="N825" i="74" s="1"/>
  <c r="M826" i="74"/>
  <c r="M825" i="74" s="1"/>
  <c r="L826" i="74"/>
  <c r="L825" i="74" s="1"/>
  <c r="K826" i="74"/>
  <c r="K825" i="74" s="1"/>
  <c r="J826" i="74"/>
  <c r="J825" i="74" s="1"/>
  <c r="I826" i="74"/>
  <c r="I825" i="74" s="1"/>
  <c r="H826" i="74"/>
  <c r="H825" i="74" s="1"/>
  <c r="S824" i="74"/>
  <c r="M823" i="74"/>
  <c r="M820" i="74" s="1"/>
  <c r="L823" i="74"/>
  <c r="L820" i="74" s="1"/>
  <c r="K823" i="74"/>
  <c r="K820" i="74" s="1"/>
  <c r="J823" i="74"/>
  <c r="J820" i="74" s="1"/>
  <c r="I823" i="74"/>
  <c r="I820" i="74" s="1"/>
  <c r="H823" i="74"/>
  <c r="H820" i="74" s="1"/>
  <c r="G823" i="74"/>
  <c r="G820" i="74" s="1"/>
  <c r="S819" i="74"/>
  <c r="S818" i="74"/>
  <c r="S817" i="74"/>
  <c r="R816" i="74"/>
  <c r="Q816" i="74"/>
  <c r="P816" i="74"/>
  <c r="O816" i="74"/>
  <c r="N816" i="74"/>
  <c r="M816" i="74"/>
  <c r="L816" i="74"/>
  <c r="K816" i="74"/>
  <c r="J816" i="74"/>
  <c r="I816" i="74"/>
  <c r="H816" i="74"/>
  <c r="G816" i="74"/>
  <c r="S815" i="74"/>
  <c r="R814" i="74"/>
  <c r="Q814" i="74"/>
  <c r="P814" i="74"/>
  <c r="O814" i="74"/>
  <c r="N814" i="74"/>
  <c r="M814" i="74"/>
  <c r="L814" i="74"/>
  <c r="K814" i="74"/>
  <c r="J814" i="74"/>
  <c r="I814" i="74"/>
  <c r="H814" i="74"/>
  <c r="G814" i="74"/>
  <c r="S813" i="74"/>
  <c r="R812" i="74"/>
  <c r="Q812" i="74"/>
  <c r="P812" i="74"/>
  <c r="O812" i="74"/>
  <c r="N812" i="74"/>
  <c r="M812" i="74"/>
  <c r="L812" i="74"/>
  <c r="K812" i="74"/>
  <c r="J812" i="74"/>
  <c r="I812" i="74"/>
  <c r="H812" i="74"/>
  <c r="G812" i="74"/>
  <c r="S811" i="74"/>
  <c r="R810" i="74"/>
  <c r="Q810" i="74"/>
  <c r="P810" i="74"/>
  <c r="O810" i="74"/>
  <c r="N810" i="74"/>
  <c r="M810" i="74"/>
  <c r="L810" i="74"/>
  <c r="K810" i="74"/>
  <c r="J810" i="74"/>
  <c r="I810" i="74"/>
  <c r="H810" i="74"/>
  <c r="G810" i="74"/>
  <c r="S809" i="74"/>
  <c r="R808" i="74"/>
  <c r="Q808" i="74"/>
  <c r="P808" i="74"/>
  <c r="O808" i="74"/>
  <c r="N808" i="74"/>
  <c r="M808" i="74"/>
  <c r="L808" i="74"/>
  <c r="K808" i="74"/>
  <c r="J808" i="74"/>
  <c r="I808" i="74"/>
  <c r="H808" i="74"/>
  <c r="G808" i="74"/>
  <c r="S804" i="74"/>
  <c r="R803" i="74"/>
  <c r="R802" i="74" s="1"/>
  <c r="Q803" i="74"/>
  <c r="Q802" i="74" s="1"/>
  <c r="P803" i="74"/>
  <c r="P802" i="74" s="1"/>
  <c r="O803" i="74"/>
  <c r="O802" i="74" s="1"/>
  <c r="N803" i="74"/>
  <c r="N802" i="74" s="1"/>
  <c r="M803" i="74"/>
  <c r="M802" i="74" s="1"/>
  <c r="L803" i="74"/>
  <c r="L802" i="74" s="1"/>
  <c r="K803" i="74"/>
  <c r="K802" i="74" s="1"/>
  <c r="J803" i="74"/>
  <c r="J802" i="74" s="1"/>
  <c r="I803" i="74"/>
  <c r="H803" i="74"/>
  <c r="H802" i="74" s="1"/>
  <c r="G803" i="74"/>
  <c r="G802" i="74" s="1"/>
  <c r="S801" i="74"/>
  <c r="R800" i="74"/>
  <c r="R799" i="74" s="1"/>
  <c r="Q800" i="74"/>
  <c r="Q799" i="74" s="1"/>
  <c r="P800" i="74"/>
  <c r="P799" i="74" s="1"/>
  <c r="O800" i="74"/>
  <c r="O799" i="74" s="1"/>
  <c r="N800" i="74"/>
  <c r="N799" i="74" s="1"/>
  <c r="M800" i="74"/>
  <c r="M799" i="74" s="1"/>
  <c r="L800" i="74"/>
  <c r="L799" i="74" s="1"/>
  <c r="K800" i="74"/>
  <c r="K799" i="74" s="1"/>
  <c r="J800" i="74"/>
  <c r="J799" i="74" s="1"/>
  <c r="I800" i="74"/>
  <c r="I799" i="74" s="1"/>
  <c r="H800" i="74"/>
  <c r="H799" i="74" s="1"/>
  <c r="G800" i="74"/>
  <c r="S798" i="74"/>
  <c r="S797" i="74"/>
  <c r="R796" i="74"/>
  <c r="Q796" i="74"/>
  <c r="P796" i="74"/>
  <c r="O796" i="74"/>
  <c r="N796" i="74"/>
  <c r="M796" i="74"/>
  <c r="L796" i="74"/>
  <c r="K796" i="74"/>
  <c r="J796" i="74"/>
  <c r="I796" i="74"/>
  <c r="H796" i="74"/>
  <c r="G796" i="74"/>
  <c r="S789" i="74"/>
  <c r="S788" i="74"/>
  <c r="R787" i="74"/>
  <c r="Q787" i="74"/>
  <c r="P787" i="74"/>
  <c r="O787" i="74"/>
  <c r="N787" i="74"/>
  <c r="M787" i="74"/>
  <c r="L787" i="74"/>
  <c r="K787" i="74"/>
  <c r="K786" i="74" s="1"/>
  <c r="K785" i="74" s="1"/>
  <c r="J787" i="74"/>
  <c r="I787" i="74"/>
  <c r="I786" i="74" s="1"/>
  <c r="H787" i="74"/>
  <c r="G787" i="74"/>
  <c r="G786" i="74" s="1"/>
  <c r="G785" i="74" s="1"/>
  <c r="S784" i="74"/>
  <c r="R783" i="74"/>
  <c r="Q783" i="74"/>
  <c r="P783" i="74"/>
  <c r="O783" i="74"/>
  <c r="N783" i="74"/>
  <c r="M783" i="74"/>
  <c r="L783" i="74"/>
  <c r="K783" i="74"/>
  <c r="J783" i="74"/>
  <c r="I783" i="74"/>
  <c r="H783" i="74"/>
  <c r="G783" i="74"/>
  <c r="S780" i="74"/>
  <c r="G778" i="74"/>
  <c r="G777" i="74" s="1"/>
  <c r="G776" i="74" s="1"/>
  <c r="R778" i="74"/>
  <c r="R777" i="74" s="1"/>
  <c r="R776" i="74" s="1"/>
  <c r="Q778" i="74"/>
  <c r="Q777" i="74" s="1"/>
  <c r="Q776" i="74" s="1"/>
  <c r="P778" i="74"/>
  <c r="P777" i="74" s="1"/>
  <c r="P776" i="74" s="1"/>
  <c r="O778" i="74"/>
  <c r="O777" i="74" s="1"/>
  <c r="O776" i="74" s="1"/>
  <c r="N778" i="74"/>
  <c r="N777" i="74" s="1"/>
  <c r="N776" i="74" s="1"/>
  <c r="M778" i="74"/>
  <c r="M777" i="74" s="1"/>
  <c r="M776" i="74" s="1"/>
  <c r="L778" i="74"/>
  <c r="L777" i="74" s="1"/>
  <c r="L776" i="74" s="1"/>
  <c r="K778" i="74"/>
  <c r="K777" i="74" s="1"/>
  <c r="K776" i="74" s="1"/>
  <c r="J778" i="74"/>
  <c r="J777" i="74" s="1"/>
  <c r="J776" i="74" s="1"/>
  <c r="I778" i="74"/>
  <c r="H778" i="74"/>
  <c r="H777" i="74" s="1"/>
  <c r="H776" i="74" s="1"/>
  <c r="R773" i="74"/>
  <c r="Q773" i="74"/>
  <c r="P773" i="74"/>
  <c r="O773" i="74"/>
  <c r="N773" i="74"/>
  <c r="M773" i="74"/>
  <c r="L773" i="74"/>
  <c r="K773" i="74"/>
  <c r="J773" i="74"/>
  <c r="I773" i="74"/>
  <c r="H773" i="74"/>
  <c r="S772" i="74"/>
  <c r="R771" i="74"/>
  <c r="Q771" i="74"/>
  <c r="P771" i="74"/>
  <c r="O771" i="74"/>
  <c r="N771" i="74"/>
  <c r="M771" i="74"/>
  <c r="L771" i="74"/>
  <c r="K771" i="74"/>
  <c r="J771" i="74"/>
  <c r="I771" i="74"/>
  <c r="H771" i="74"/>
  <c r="G771" i="74"/>
  <c r="S770" i="74"/>
  <c r="D485" i="76" s="1"/>
  <c r="S769" i="74"/>
  <c r="R768" i="74"/>
  <c r="Q768" i="74"/>
  <c r="P768" i="74"/>
  <c r="O768" i="74"/>
  <c r="N768" i="74"/>
  <c r="M768" i="74"/>
  <c r="L768" i="74"/>
  <c r="K768" i="74"/>
  <c r="J768" i="74"/>
  <c r="I768" i="74"/>
  <c r="H768" i="74"/>
  <c r="G768" i="74"/>
  <c r="S767" i="74"/>
  <c r="R766" i="74"/>
  <c r="R762" i="74" s="1"/>
  <c r="R760" i="74" s="1"/>
  <c r="R758" i="74" s="1"/>
  <c r="Q766" i="74"/>
  <c r="Q762" i="74" s="1"/>
  <c r="Q760" i="74" s="1"/>
  <c r="Q758" i="74" s="1"/>
  <c r="P766" i="74"/>
  <c r="P762" i="74" s="1"/>
  <c r="P760" i="74" s="1"/>
  <c r="P758" i="74" s="1"/>
  <c r="O766" i="74"/>
  <c r="N766" i="74"/>
  <c r="M766" i="74"/>
  <c r="M762" i="74" s="1"/>
  <c r="M760" i="74" s="1"/>
  <c r="M758" i="74" s="1"/>
  <c r="L766" i="74"/>
  <c r="L762" i="74" s="1"/>
  <c r="L760" i="74" s="1"/>
  <c r="L758" i="74" s="1"/>
  <c r="K766" i="74"/>
  <c r="J766" i="74"/>
  <c r="I766" i="74"/>
  <c r="I762" i="74" s="1"/>
  <c r="I760" i="74" s="1"/>
  <c r="I758" i="74" s="1"/>
  <c r="H766" i="74"/>
  <c r="H762" i="74" s="1"/>
  <c r="G766" i="74"/>
  <c r="S765" i="74"/>
  <c r="S764" i="74"/>
  <c r="S763" i="74"/>
  <c r="O762" i="74"/>
  <c r="O760" i="74" s="1"/>
  <c r="O758" i="74" s="1"/>
  <c r="N762" i="74"/>
  <c r="N760" i="74" s="1"/>
  <c r="N758" i="74" s="1"/>
  <c r="K762" i="74"/>
  <c r="K760" i="74" s="1"/>
  <c r="K758" i="74" s="1"/>
  <c r="J762" i="74"/>
  <c r="J760" i="74" s="1"/>
  <c r="J758" i="74" s="1"/>
  <c r="G762" i="74"/>
  <c r="S756" i="74"/>
  <c r="R755" i="74"/>
  <c r="Q755" i="74"/>
  <c r="P755" i="74"/>
  <c r="O755" i="74"/>
  <c r="N755" i="74"/>
  <c r="M755" i="74"/>
  <c r="L755" i="74"/>
  <c r="K755" i="74"/>
  <c r="J755" i="74"/>
  <c r="I755" i="74"/>
  <c r="H755" i="74"/>
  <c r="G755" i="74"/>
  <c r="S750" i="74"/>
  <c r="R749" i="74"/>
  <c r="R748" i="74" s="1"/>
  <c r="Q749" i="74"/>
  <c r="Q748" i="74" s="1"/>
  <c r="P749" i="74"/>
  <c r="P748" i="74" s="1"/>
  <c r="O749" i="74"/>
  <c r="O748" i="74" s="1"/>
  <c r="N749" i="74"/>
  <c r="N748" i="74" s="1"/>
  <c r="M749" i="74"/>
  <c r="M748" i="74" s="1"/>
  <c r="L749" i="74"/>
  <c r="L748" i="74" s="1"/>
  <c r="K749" i="74"/>
  <c r="K748" i="74" s="1"/>
  <c r="J749" i="74"/>
  <c r="J748" i="74" s="1"/>
  <c r="I749" i="74"/>
  <c r="I748" i="74" s="1"/>
  <c r="H749" i="74"/>
  <c r="H748" i="74" s="1"/>
  <c r="G749" i="74"/>
  <c r="S747" i="74"/>
  <c r="O746" i="74"/>
  <c r="G746" i="74"/>
  <c r="S745" i="74"/>
  <c r="R744" i="74"/>
  <c r="Q744" i="74"/>
  <c r="P744" i="74"/>
  <c r="O744" i="74"/>
  <c r="N744" i="74"/>
  <c r="M744" i="74"/>
  <c r="L744" i="74"/>
  <c r="K744" i="74"/>
  <c r="J744" i="74"/>
  <c r="I744" i="74"/>
  <c r="H744" i="74"/>
  <c r="G744" i="74"/>
  <c r="S743" i="74"/>
  <c r="R742" i="74"/>
  <c r="Q742" i="74"/>
  <c r="P742" i="74"/>
  <c r="O742" i="74"/>
  <c r="N742" i="74"/>
  <c r="M742" i="74"/>
  <c r="L742" i="74"/>
  <c r="K742" i="74"/>
  <c r="J742" i="74"/>
  <c r="I742" i="74"/>
  <c r="H742" i="74"/>
  <c r="G742" i="74"/>
  <c r="S739" i="74"/>
  <c r="O738" i="74"/>
  <c r="O737" i="74" s="1"/>
  <c r="S737" i="74" s="1"/>
  <c r="S733" i="74"/>
  <c r="R732" i="74"/>
  <c r="Q732" i="74"/>
  <c r="P732" i="74"/>
  <c r="O732" i="74"/>
  <c r="N732" i="74"/>
  <c r="M732" i="74"/>
  <c r="L732" i="74"/>
  <c r="K732" i="74"/>
  <c r="J732" i="74"/>
  <c r="I732" i="74"/>
  <c r="H732" i="74"/>
  <c r="G732" i="74"/>
  <c r="S731" i="74"/>
  <c r="R730" i="74"/>
  <c r="Q730" i="74"/>
  <c r="P730" i="74"/>
  <c r="O730" i="74"/>
  <c r="N730" i="74"/>
  <c r="M730" i="74"/>
  <c r="L730" i="74"/>
  <c r="K730" i="74"/>
  <c r="J730" i="74"/>
  <c r="I730" i="74"/>
  <c r="H730" i="74"/>
  <c r="G730" i="74"/>
  <c r="S726" i="74"/>
  <c r="R725" i="74"/>
  <c r="Q725" i="74"/>
  <c r="P725" i="74"/>
  <c r="O725" i="74"/>
  <c r="N725" i="74"/>
  <c r="M725" i="74"/>
  <c r="L725" i="74"/>
  <c r="K725" i="74"/>
  <c r="J725" i="74"/>
  <c r="I725" i="74"/>
  <c r="H725" i="74"/>
  <c r="G725" i="74"/>
  <c r="S724" i="74"/>
  <c r="R723" i="74"/>
  <c r="Q723" i="74"/>
  <c r="P723" i="74"/>
  <c r="O723" i="74"/>
  <c r="N723" i="74"/>
  <c r="M723" i="74"/>
  <c r="L723" i="74"/>
  <c r="K723" i="74"/>
  <c r="J723" i="74"/>
  <c r="I723" i="74"/>
  <c r="H723" i="74"/>
  <c r="G723" i="74"/>
  <c r="R722" i="74"/>
  <c r="Q722" i="74"/>
  <c r="P722" i="74"/>
  <c r="O722" i="74"/>
  <c r="N722" i="74"/>
  <c r="M722" i="74"/>
  <c r="L722" i="74"/>
  <c r="K722" i="74"/>
  <c r="J722" i="74"/>
  <c r="I722" i="74"/>
  <c r="H722" i="74"/>
  <c r="G722" i="74"/>
  <c r="S701" i="74"/>
  <c r="R700" i="74"/>
  <c r="R699" i="74" s="1"/>
  <c r="R698" i="74" s="1"/>
  <c r="R697" i="74" s="1"/>
  <c r="Q700" i="74"/>
  <c r="Q699" i="74" s="1"/>
  <c r="Q698" i="74" s="1"/>
  <c r="Q697" i="74" s="1"/>
  <c r="P700" i="74"/>
  <c r="P699" i="74" s="1"/>
  <c r="P698" i="74" s="1"/>
  <c r="P697" i="74" s="1"/>
  <c r="O700" i="74"/>
  <c r="O699" i="74" s="1"/>
  <c r="O698" i="74" s="1"/>
  <c r="O697" i="74" s="1"/>
  <c r="N700" i="74"/>
  <c r="N699" i="74" s="1"/>
  <c r="N698" i="74" s="1"/>
  <c r="N697" i="74" s="1"/>
  <c r="M700" i="74"/>
  <c r="M699" i="74" s="1"/>
  <c r="M698" i="74" s="1"/>
  <c r="M697" i="74" s="1"/>
  <c r="L700" i="74"/>
  <c r="L699" i="74" s="1"/>
  <c r="L698" i="74" s="1"/>
  <c r="L697" i="74" s="1"/>
  <c r="K700" i="74"/>
  <c r="K699" i="74" s="1"/>
  <c r="K698" i="74" s="1"/>
  <c r="K697" i="74" s="1"/>
  <c r="J700" i="74"/>
  <c r="J699" i="74" s="1"/>
  <c r="J698" i="74" s="1"/>
  <c r="I700" i="74"/>
  <c r="I699" i="74" s="1"/>
  <c r="I698" i="74" s="1"/>
  <c r="I697" i="74" s="1"/>
  <c r="H700" i="74"/>
  <c r="H699" i="74" s="1"/>
  <c r="H698" i="74" s="1"/>
  <c r="H697" i="74" s="1"/>
  <c r="G700" i="74"/>
  <c r="S696" i="74"/>
  <c r="S695" i="74"/>
  <c r="R694" i="74"/>
  <c r="R693" i="74" s="1"/>
  <c r="R692" i="74" s="1"/>
  <c r="R691" i="74" s="1"/>
  <c r="Q694" i="74"/>
  <c r="Q693" i="74" s="1"/>
  <c r="Q692" i="74" s="1"/>
  <c r="Q691" i="74" s="1"/>
  <c r="P694" i="74"/>
  <c r="P693" i="74" s="1"/>
  <c r="P692" i="74" s="1"/>
  <c r="P691" i="74" s="1"/>
  <c r="O694" i="74"/>
  <c r="O693" i="74" s="1"/>
  <c r="O692" i="74" s="1"/>
  <c r="O691" i="74" s="1"/>
  <c r="N694" i="74"/>
  <c r="N693" i="74" s="1"/>
  <c r="N692" i="74" s="1"/>
  <c r="N691" i="74" s="1"/>
  <c r="M694" i="74"/>
  <c r="M693" i="74" s="1"/>
  <c r="M692" i="74" s="1"/>
  <c r="M691" i="74" s="1"/>
  <c r="L694" i="74"/>
  <c r="L693" i="74" s="1"/>
  <c r="L692" i="74" s="1"/>
  <c r="L691" i="74" s="1"/>
  <c r="K694" i="74"/>
  <c r="K693" i="74" s="1"/>
  <c r="K692" i="74" s="1"/>
  <c r="K691" i="74" s="1"/>
  <c r="J694" i="74"/>
  <c r="J693" i="74" s="1"/>
  <c r="J692" i="74" s="1"/>
  <c r="J691" i="74" s="1"/>
  <c r="I694" i="74"/>
  <c r="I693" i="74" s="1"/>
  <c r="I692" i="74" s="1"/>
  <c r="I691" i="74" s="1"/>
  <c r="H694" i="74"/>
  <c r="H693" i="74" s="1"/>
  <c r="H692" i="74" s="1"/>
  <c r="G694" i="74"/>
  <c r="G693" i="74" s="1"/>
  <c r="S674" i="74"/>
  <c r="S673" i="74"/>
  <c r="R672" i="74"/>
  <c r="Q672" i="74"/>
  <c r="P672" i="74"/>
  <c r="O672" i="74"/>
  <c r="N672" i="74"/>
  <c r="M672" i="74"/>
  <c r="L672" i="74"/>
  <c r="K672" i="74"/>
  <c r="J672" i="74"/>
  <c r="I672" i="74"/>
  <c r="H672" i="74"/>
  <c r="G672" i="74"/>
  <c r="S671" i="74"/>
  <c r="S670" i="74"/>
  <c r="R669" i="74"/>
  <c r="R668" i="74" s="1"/>
  <c r="Q669" i="74"/>
  <c r="Q668" i="74" s="1"/>
  <c r="P669" i="74"/>
  <c r="P668" i="74" s="1"/>
  <c r="O669" i="74"/>
  <c r="O668" i="74" s="1"/>
  <c r="N669" i="74"/>
  <c r="N668" i="74" s="1"/>
  <c r="M669" i="74"/>
  <c r="M668" i="74" s="1"/>
  <c r="L669" i="74"/>
  <c r="L668" i="74" s="1"/>
  <c r="K669" i="74"/>
  <c r="K668" i="74" s="1"/>
  <c r="J669" i="74"/>
  <c r="J668" i="74" s="1"/>
  <c r="I669" i="74"/>
  <c r="I668" i="74" s="1"/>
  <c r="H669" i="74"/>
  <c r="H668" i="74" s="1"/>
  <c r="S666" i="74"/>
  <c r="R665" i="74"/>
  <c r="Q665" i="74"/>
  <c r="P665" i="74"/>
  <c r="O665" i="74"/>
  <c r="N665" i="74"/>
  <c r="M665" i="74"/>
  <c r="L665" i="74"/>
  <c r="K665" i="74"/>
  <c r="J665" i="74"/>
  <c r="I665" i="74"/>
  <c r="H665" i="74"/>
  <c r="G665" i="74"/>
  <c r="S664" i="74"/>
  <c r="S663" i="74"/>
  <c r="R662" i="74"/>
  <c r="Q662" i="74"/>
  <c r="P662" i="74"/>
  <c r="O662" i="74"/>
  <c r="N662" i="74"/>
  <c r="M662" i="74"/>
  <c r="L662" i="74"/>
  <c r="K662" i="74"/>
  <c r="J662" i="74"/>
  <c r="I662" i="74"/>
  <c r="H662" i="74"/>
  <c r="G662" i="74"/>
  <c r="S661" i="74"/>
  <c r="S660" i="74"/>
  <c r="Q659" i="74"/>
  <c r="Q658" i="74" s="1"/>
  <c r="P659" i="74"/>
  <c r="P658" i="74" s="1"/>
  <c r="O659" i="74"/>
  <c r="O658" i="74" s="1"/>
  <c r="N659" i="74"/>
  <c r="N658" i="74" s="1"/>
  <c r="M659" i="74"/>
  <c r="M658" i="74" s="1"/>
  <c r="L659" i="74"/>
  <c r="L658" i="74" s="1"/>
  <c r="K659" i="74"/>
  <c r="K658" i="74" s="1"/>
  <c r="J659" i="74"/>
  <c r="J658" i="74" s="1"/>
  <c r="I659" i="74"/>
  <c r="I658" i="74" s="1"/>
  <c r="H659" i="74"/>
  <c r="G659" i="74"/>
  <c r="G658" i="74" s="1"/>
  <c r="R658" i="74"/>
  <c r="S655" i="74"/>
  <c r="S654" i="74"/>
  <c r="P652" i="74"/>
  <c r="S653" i="74"/>
  <c r="R652" i="74"/>
  <c r="Q652" i="74"/>
  <c r="O652" i="74"/>
  <c r="N652" i="74"/>
  <c r="M652" i="74"/>
  <c r="L652" i="74"/>
  <c r="K652" i="74"/>
  <c r="J652" i="74"/>
  <c r="I652" i="74"/>
  <c r="H652" i="74"/>
  <c r="G652" i="74"/>
  <c r="S651" i="74"/>
  <c r="R650" i="74"/>
  <c r="Q650" i="74"/>
  <c r="P650" i="74"/>
  <c r="O650" i="74"/>
  <c r="N650" i="74"/>
  <c r="M650" i="74"/>
  <c r="L650" i="74"/>
  <c r="K650" i="74"/>
  <c r="J650" i="74"/>
  <c r="I650" i="74"/>
  <c r="H650" i="74"/>
  <c r="G650" i="74"/>
  <c r="R649" i="74"/>
  <c r="Q649" i="74"/>
  <c r="P649" i="74"/>
  <c r="O649" i="74"/>
  <c r="N649" i="74"/>
  <c r="M649" i="74"/>
  <c r="L649" i="74"/>
  <c r="K649" i="74"/>
  <c r="J649" i="74"/>
  <c r="I649" i="74"/>
  <c r="H649" i="74"/>
  <c r="G649" i="74"/>
  <c r="S648" i="74"/>
  <c r="D278" i="76" s="1"/>
  <c r="D277" i="76" s="1"/>
  <c r="R647" i="74"/>
  <c r="Q647" i="74"/>
  <c r="P647" i="74"/>
  <c r="O647" i="74"/>
  <c r="N647" i="74"/>
  <c r="M647" i="74"/>
  <c r="L647" i="74"/>
  <c r="K647" i="74"/>
  <c r="J647" i="74"/>
  <c r="I647" i="74"/>
  <c r="H647" i="74"/>
  <c r="G647" i="74"/>
  <c r="S645" i="74"/>
  <c r="S642" i="74"/>
  <c r="S640" i="74"/>
  <c r="R639" i="74"/>
  <c r="Q639" i="74"/>
  <c r="P639" i="74"/>
  <c r="O639" i="74"/>
  <c r="N639" i="74"/>
  <c r="M639" i="74"/>
  <c r="L639" i="74"/>
  <c r="K639" i="74"/>
  <c r="J639" i="74"/>
  <c r="I639" i="74"/>
  <c r="H639" i="74"/>
  <c r="G639" i="74"/>
  <c r="S638" i="74"/>
  <c r="R637" i="74"/>
  <c r="Q637" i="74"/>
  <c r="P637" i="74"/>
  <c r="O637" i="74"/>
  <c r="N637" i="74"/>
  <c r="M637" i="74"/>
  <c r="L637" i="74"/>
  <c r="K637" i="74"/>
  <c r="J637" i="74"/>
  <c r="I637" i="74"/>
  <c r="H637" i="74"/>
  <c r="G637" i="74"/>
  <c r="S636" i="74"/>
  <c r="R635" i="74"/>
  <c r="Q635" i="74"/>
  <c r="P635" i="74"/>
  <c r="O635" i="74"/>
  <c r="N635" i="74"/>
  <c r="M635" i="74"/>
  <c r="L635" i="74"/>
  <c r="K635" i="74"/>
  <c r="J635" i="74"/>
  <c r="I635" i="74"/>
  <c r="H635" i="74"/>
  <c r="G635" i="74"/>
  <c r="S634" i="74"/>
  <c r="R633" i="74"/>
  <c r="Q633" i="74"/>
  <c r="P633" i="74"/>
  <c r="O633" i="74"/>
  <c r="N633" i="74"/>
  <c r="M633" i="74"/>
  <c r="L633" i="74"/>
  <c r="K633" i="74"/>
  <c r="J633" i="74"/>
  <c r="I633" i="74"/>
  <c r="H633" i="74"/>
  <c r="G633" i="74"/>
  <c r="S632" i="74"/>
  <c r="R631" i="74"/>
  <c r="Q631" i="74"/>
  <c r="P631" i="74"/>
  <c r="O631" i="74"/>
  <c r="N631" i="74"/>
  <c r="M631" i="74"/>
  <c r="L631" i="74"/>
  <c r="K631" i="74"/>
  <c r="J631" i="74"/>
  <c r="I631" i="74"/>
  <c r="H631" i="74"/>
  <c r="G631" i="74"/>
  <c r="S630" i="74"/>
  <c r="R629" i="74"/>
  <c r="Q629" i="74"/>
  <c r="P629" i="74"/>
  <c r="O629" i="74"/>
  <c r="N629" i="74"/>
  <c r="M629" i="74"/>
  <c r="L629" i="74"/>
  <c r="K629" i="74"/>
  <c r="J629" i="74"/>
  <c r="I629" i="74"/>
  <c r="H629" i="74"/>
  <c r="G629" i="74"/>
  <c r="S628" i="74"/>
  <c r="R627" i="74"/>
  <c r="Q627" i="74"/>
  <c r="P627" i="74"/>
  <c r="O627" i="74"/>
  <c r="N627" i="74"/>
  <c r="M627" i="74"/>
  <c r="L627" i="74"/>
  <c r="K627" i="74"/>
  <c r="J627" i="74"/>
  <c r="I627" i="74"/>
  <c r="H627" i="74"/>
  <c r="G627" i="74"/>
  <c r="S617" i="74"/>
  <c r="R616" i="74"/>
  <c r="R615" i="74" s="1"/>
  <c r="R614" i="74" s="1"/>
  <c r="Q616" i="74"/>
  <c r="Q615" i="74" s="1"/>
  <c r="Q614" i="74" s="1"/>
  <c r="P616" i="74"/>
  <c r="P615" i="74" s="1"/>
  <c r="P614" i="74" s="1"/>
  <c r="O616" i="74"/>
  <c r="O615" i="74" s="1"/>
  <c r="O614" i="74" s="1"/>
  <c r="N616" i="74"/>
  <c r="N615" i="74" s="1"/>
  <c r="N614" i="74" s="1"/>
  <c r="M616" i="74"/>
  <c r="M615" i="74" s="1"/>
  <c r="M614" i="74" s="1"/>
  <c r="L616" i="74"/>
  <c r="L615" i="74" s="1"/>
  <c r="L614" i="74" s="1"/>
  <c r="K616" i="74"/>
  <c r="K615" i="74" s="1"/>
  <c r="K614" i="74" s="1"/>
  <c r="J616" i="74"/>
  <c r="J615" i="74" s="1"/>
  <c r="J614" i="74" s="1"/>
  <c r="I616" i="74"/>
  <c r="I615" i="74" s="1"/>
  <c r="I614" i="74" s="1"/>
  <c r="H616" i="74"/>
  <c r="H615" i="74" s="1"/>
  <c r="H614" i="74" s="1"/>
  <c r="G616" i="74"/>
  <c r="G615" i="74" s="1"/>
  <c r="G614" i="74" s="1"/>
  <c r="S613" i="74"/>
  <c r="R612" i="74"/>
  <c r="R611" i="74" s="1"/>
  <c r="Q612" i="74"/>
  <c r="Q611" i="74" s="1"/>
  <c r="P612" i="74"/>
  <c r="P611" i="74" s="1"/>
  <c r="O612" i="74"/>
  <c r="O611" i="74" s="1"/>
  <c r="N612" i="74"/>
  <c r="N611" i="74" s="1"/>
  <c r="M612" i="74"/>
  <c r="M611" i="74" s="1"/>
  <c r="L612" i="74"/>
  <c r="L611" i="74" s="1"/>
  <c r="K612" i="74"/>
  <c r="K611" i="74" s="1"/>
  <c r="J612" i="74"/>
  <c r="J611" i="74" s="1"/>
  <c r="I612" i="74"/>
  <c r="I611" i="74" s="1"/>
  <c r="H612" i="74"/>
  <c r="G612" i="74"/>
  <c r="G611" i="74" s="1"/>
  <c r="S610" i="74"/>
  <c r="D397" i="76" s="1"/>
  <c r="D396" i="76" s="1"/>
  <c r="R609" i="74"/>
  <c r="R608" i="74" s="1"/>
  <c r="Q609" i="74"/>
  <c r="Q608" i="74" s="1"/>
  <c r="P609" i="74"/>
  <c r="P608" i="74" s="1"/>
  <c r="O609" i="74"/>
  <c r="O608" i="74" s="1"/>
  <c r="N609" i="74"/>
  <c r="N608" i="74" s="1"/>
  <c r="M609" i="74"/>
  <c r="M608" i="74" s="1"/>
  <c r="L609" i="74"/>
  <c r="L608" i="74" s="1"/>
  <c r="K609" i="74"/>
  <c r="K608" i="74" s="1"/>
  <c r="J609" i="74"/>
  <c r="J608" i="74" s="1"/>
  <c r="I609" i="74"/>
  <c r="H609" i="74"/>
  <c r="H608" i="74" s="1"/>
  <c r="G609" i="74"/>
  <c r="G608" i="74" s="1"/>
  <c r="S592" i="74"/>
  <c r="S591" i="74"/>
  <c r="R590" i="74"/>
  <c r="Q590" i="74"/>
  <c r="P590" i="74"/>
  <c r="O590" i="74"/>
  <c r="N590" i="74"/>
  <c r="M590" i="74"/>
  <c r="L590" i="74"/>
  <c r="K590" i="74"/>
  <c r="J590" i="74"/>
  <c r="I590" i="74"/>
  <c r="H590" i="74"/>
  <c r="G590" i="74"/>
  <c r="S587" i="74"/>
  <c r="R586" i="74"/>
  <c r="R585" i="74" s="1"/>
  <c r="Q586" i="74"/>
  <c r="Q585" i="74" s="1"/>
  <c r="P586" i="74"/>
  <c r="P585" i="74" s="1"/>
  <c r="O586" i="74"/>
  <c r="O585" i="74" s="1"/>
  <c r="N586" i="74"/>
  <c r="N585" i="74" s="1"/>
  <c r="M586" i="74"/>
  <c r="M585" i="74" s="1"/>
  <c r="L586" i="74"/>
  <c r="L585" i="74" s="1"/>
  <c r="K586" i="74"/>
  <c r="K585" i="74" s="1"/>
  <c r="J586" i="74"/>
  <c r="I586" i="74"/>
  <c r="I585" i="74" s="1"/>
  <c r="H586" i="74"/>
  <c r="H585" i="74" s="1"/>
  <c r="G586" i="74"/>
  <c r="G585" i="74" s="1"/>
  <c r="S584" i="74"/>
  <c r="H582" i="74"/>
  <c r="R582" i="74"/>
  <c r="Q582" i="74"/>
  <c r="P582" i="74"/>
  <c r="O582" i="74"/>
  <c r="N582" i="74"/>
  <c r="M582" i="74"/>
  <c r="L582" i="74"/>
  <c r="K582" i="74"/>
  <c r="J582" i="74"/>
  <c r="I582" i="74"/>
  <c r="G582" i="74"/>
  <c r="S581" i="74"/>
  <c r="D543" i="76" s="1"/>
  <c r="D542" i="76" s="1"/>
  <c r="R580" i="74"/>
  <c r="Q580" i="74"/>
  <c r="P580" i="74"/>
  <c r="O580" i="74"/>
  <c r="N580" i="74"/>
  <c r="M580" i="74"/>
  <c r="L580" i="74"/>
  <c r="K580" i="74"/>
  <c r="J580" i="74"/>
  <c r="I580" i="74"/>
  <c r="H580" i="74"/>
  <c r="G580" i="74"/>
  <c r="S571" i="74"/>
  <c r="S562" i="74"/>
  <c r="R561" i="74"/>
  <c r="R560" i="74" s="1"/>
  <c r="Q561" i="74"/>
  <c r="P561" i="74"/>
  <c r="P560" i="74" s="1"/>
  <c r="O561" i="74"/>
  <c r="N561" i="74"/>
  <c r="N560" i="74" s="1"/>
  <c r="M561" i="74"/>
  <c r="L561" i="74"/>
  <c r="L560" i="74" s="1"/>
  <c r="K561" i="74"/>
  <c r="J561" i="74"/>
  <c r="J560" i="74" s="1"/>
  <c r="I561" i="74"/>
  <c r="H561" i="74"/>
  <c r="H560" i="74" s="1"/>
  <c r="G561" i="74"/>
  <c r="S557" i="74"/>
  <c r="R556" i="74"/>
  <c r="Q556" i="74"/>
  <c r="P556" i="74"/>
  <c r="O556" i="74"/>
  <c r="N556" i="74"/>
  <c r="M556" i="74"/>
  <c r="L556" i="74"/>
  <c r="K556" i="74"/>
  <c r="J556" i="74"/>
  <c r="I556" i="74"/>
  <c r="H556" i="74"/>
  <c r="G556" i="74"/>
  <c r="S555" i="74"/>
  <c r="R554" i="74"/>
  <c r="Q554" i="74"/>
  <c r="P554" i="74"/>
  <c r="O554" i="74"/>
  <c r="N554" i="74"/>
  <c r="M554" i="74"/>
  <c r="L554" i="74"/>
  <c r="K554" i="74"/>
  <c r="J554" i="74"/>
  <c r="I554" i="74"/>
  <c r="H554" i="74"/>
  <c r="G554" i="74"/>
  <c r="S552" i="74"/>
  <c r="R551" i="74"/>
  <c r="Q551" i="74"/>
  <c r="P551" i="74"/>
  <c r="O551" i="74"/>
  <c r="N551" i="74"/>
  <c r="M551" i="74"/>
  <c r="L551" i="74"/>
  <c r="K551" i="74"/>
  <c r="J551" i="74"/>
  <c r="I551" i="74"/>
  <c r="H551" i="74"/>
  <c r="G551" i="74"/>
  <c r="S550" i="74"/>
  <c r="R549" i="74"/>
  <c r="R548" i="74" s="1"/>
  <c r="Q549" i="74"/>
  <c r="Q548" i="74" s="1"/>
  <c r="P549" i="74"/>
  <c r="P548" i="74" s="1"/>
  <c r="O549" i="74"/>
  <c r="O548" i="74" s="1"/>
  <c r="N549" i="74"/>
  <c r="N548" i="74" s="1"/>
  <c r="M549" i="74"/>
  <c r="M548" i="74" s="1"/>
  <c r="L549" i="74"/>
  <c r="L548" i="74" s="1"/>
  <c r="K549" i="74"/>
  <c r="K548" i="74" s="1"/>
  <c r="J549" i="74"/>
  <c r="J548" i="74" s="1"/>
  <c r="I549" i="74"/>
  <c r="I548" i="74" s="1"/>
  <c r="H549" i="74"/>
  <c r="H548" i="74" s="1"/>
  <c r="G549" i="74"/>
  <c r="S539" i="74"/>
  <c r="N538" i="74"/>
  <c r="N537" i="74" s="1"/>
  <c r="M538" i="74"/>
  <c r="L538" i="74"/>
  <c r="L537" i="74" s="1"/>
  <c r="S536" i="74"/>
  <c r="S535" i="74"/>
  <c r="R534" i="74"/>
  <c r="R529" i="74" s="1"/>
  <c r="R528" i="74" s="1"/>
  <c r="R527" i="74" s="1"/>
  <c r="Q534" i="74"/>
  <c r="Q529" i="74" s="1"/>
  <c r="Q528" i="74" s="1"/>
  <c r="Q527" i="74" s="1"/>
  <c r="P534" i="74"/>
  <c r="P529" i="74" s="1"/>
  <c r="P528" i="74" s="1"/>
  <c r="P527" i="74" s="1"/>
  <c r="O534" i="74"/>
  <c r="O529" i="74" s="1"/>
  <c r="O528" i="74" s="1"/>
  <c r="O527" i="74" s="1"/>
  <c r="N534" i="74"/>
  <c r="N529" i="74" s="1"/>
  <c r="N528" i="74" s="1"/>
  <c r="M534" i="74"/>
  <c r="L534" i="74"/>
  <c r="K534" i="74"/>
  <c r="K529" i="74" s="1"/>
  <c r="K528" i="74" s="1"/>
  <c r="K527" i="74" s="1"/>
  <c r="J534" i="74"/>
  <c r="I534" i="74"/>
  <c r="I529" i="74" s="1"/>
  <c r="I528" i="74" s="1"/>
  <c r="I527" i="74" s="1"/>
  <c r="H534" i="74"/>
  <c r="H529" i="74" s="1"/>
  <c r="H528" i="74" s="1"/>
  <c r="H527" i="74" s="1"/>
  <c r="G534" i="74"/>
  <c r="G529" i="74" s="1"/>
  <c r="G528" i="74" s="1"/>
  <c r="G527" i="74" s="1"/>
  <c r="S533" i="74"/>
  <c r="M532" i="74"/>
  <c r="S532" i="74" s="1"/>
  <c r="S531" i="74"/>
  <c r="R530" i="74"/>
  <c r="Q530" i="74"/>
  <c r="P530" i="74"/>
  <c r="O530" i="74"/>
  <c r="N530" i="74"/>
  <c r="M530" i="74"/>
  <c r="L530" i="74"/>
  <c r="S526" i="74"/>
  <c r="R525" i="74"/>
  <c r="Q525" i="74"/>
  <c r="P525" i="74"/>
  <c r="O525" i="74"/>
  <c r="N525" i="74"/>
  <c r="M525" i="74"/>
  <c r="L525" i="74"/>
  <c r="K525" i="74"/>
  <c r="J525" i="74"/>
  <c r="I525" i="74"/>
  <c r="H525" i="74"/>
  <c r="G525" i="74"/>
  <c r="S524" i="74"/>
  <c r="R523" i="74"/>
  <c r="Q523" i="74"/>
  <c r="P523" i="74"/>
  <c r="O523" i="74"/>
  <c r="N523" i="74"/>
  <c r="M523" i="74"/>
  <c r="L523" i="74"/>
  <c r="K523" i="74"/>
  <c r="J523" i="74"/>
  <c r="I523" i="74"/>
  <c r="H523" i="74"/>
  <c r="G523" i="74"/>
  <c r="S522" i="74"/>
  <c r="R521" i="74"/>
  <c r="Q521" i="74"/>
  <c r="P521" i="74"/>
  <c r="O521" i="74"/>
  <c r="N521" i="74"/>
  <c r="M521" i="74"/>
  <c r="L521" i="74"/>
  <c r="K521" i="74"/>
  <c r="J521" i="74"/>
  <c r="I521" i="74"/>
  <c r="H521" i="74"/>
  <c r="G521" i="74"/>
  <c r="S520" i="74"/>
  <c r="R519" i="74"/>
  <c r="Q519" i="74"/>
  <c r="P519" i="74"/>
  <c r="O519" i="74"/>
  <c r="N519" i="74"/>
  <c r="M519" i="74"/>
  <c r="L519" i="74"/>
  <c r="K519" i="74"/>
  <c r="J519" i="74"/>
  <c r="I519" i="74"/>
  <c r="H519" i="74"/>
  <c r="G519" i="74"/>
  <c r="S518" i="74"/>
  <c r="R517" i="74"/>
  <c r="Q517" i="74"/>
  <c r="P517" i="74"/>
  <c r="O517" i="74"/>
  <c r="N517" i="74"/>
  <c r="M517" i="74"/>
  <c r="L517" i="74"/>
  <c r="K517" i="74"/>
  <c r="J517" i="74"/>
  <c r="I517" i="74"/>
  <c r="H517" i="74"/>
  <c r="G517" i="74"/>
  <c r="S516" i="74"/>
  <c r="R515" i="74"/>
  <c r="Q515" i="74"/>
  <c r="P515" i="74"/>
  <c r="O515" i="74"/>
  <c r="N515" i="74"/>
  <c r="M515" i="74"/>
  <c r="L515" i="74"/>
  <c r="K515" i="74"/>
  <c r="J515" i="74"/>
  <c r="I515" i="74"/>
  <c r="H515" i="74"/>
  <c r="G515" i="74"/>
  <c r="S511" i="74"/>
  <c r="O509" i="74"/>
  <c r="O508" i="74" s="1"/>
  <c r="S510" i="74"/>
  <c r="R509" i="74"/>
  <c r="Q509" i="74"/>
  <c r="P509" i="74"/>
  <c r="P508" i="74" s="1"/>
  <c r="P507" i="74" s="1"/>
  <c r="S497" i="74"/>
  <c r="R496" i="74"/>
  <c r="Q496" i="74"/>
  <c r="P496" i="74"/>
  <c r="O496" i="74"/>
  <c r="N496" i="74"/>
  <c r="M496" i="74"/>
  <c r="L496" i="74"/>
  <c r="K496" i="74"/>
  <c r="J496" i="74"/>
  <c r="I496" i="74"/>
  <c r="H496" i="74"/>
  <c r="G496" i="74"/>
  <c r="S481" i="74"/>
  <c r="S480" i="74"/>
  <c r="S477" i="74"/>
  <c r="R476" i="74"/>
  <c r="R475" i="74" s="1"/>
  <c r="Q476" i="74"/>
  <c r="Q475" i="74" s="1"/>
  <c r="P476" i="74"/>
  <c r="P475" i="74" s="1"/>
  <c r="O476" i="74"/>
  <c r="O475" i="74" s="1"/>
  <c r="N476" i="74"/>
  <c r="N475" i="74" s="1"/>
  <c r="M476" i="74"/>
  <c r="L476" i="74"/>
  <c r="L475" i="74" s="1"/>
  <c r="K476" i="74"/>
  <c r="K475" i="74" s="1"/>
  <c r="J476" i="74"/>
  <c r="J475" i="74" s="1"/>
  <c r="I476" i="74"/>
  <c r="I475" i="74" s="1"/>
  <c r="H476" i="74"/>
  <c r="H475" i="74" s="1"/>
  <c r="G476" i="74"/>
  <c r="G475" i="74" s="1"/>
  <c r="S471" i="74"/>
  <c r="R470" i="74"/>
  <c r="Q470" i="74"/>
  <c r="P470" i="74"/>
  <c r="O470" i="74"/>
  <c r="N470" i="74"/>
  <c r="M470" i="74"/>
  <c r="L470" i="74"/>
  <c r="K470" i="74"/>
  <c r="J470" i="74"/>
  <c r="I470" i="74"/>
  <c r="H470" i="74"/>
  <c r="G470" i="74"/>
  <c r="S469" i="74"/>
  <c r="R468" i="74"/>
  <c r="Q468" i="74"/>
  <c r="P468" i="74"/>
  <c r="O468" i="74"/>
  <c r="N468" i="74"/>
  <c r="M468" i="74"/>
  <c r="L468" i="74"/>
  <c r="K468" i="74"/>
  <c r="J468" i="74"/>
  <c r="I468" i="74"/>
  <c r="H468" i="74"/>
  <c r="G468" i="74"/>
  <c r="S466" i="74"/>
  <c r="R465" i="74"/>
  <c r="R464" i="74" s="1"/>
  <c r="Q465" i="74"/>
  <c r="Q464" i="74" s="1"/>
  <c r="P465" i="74"/>
  <c r="P464" i="74" s="1"/>
  <c r="O465" i="74"/>
  <c r="O464" i="74" s="1"/>
  <c r="N465" i="74"/>
  <c r="N464" i="74" s="1"/>
  <c r="M465" i="74"/>
  <c r="M464" i="74" s="1"/>
  <c r="L465" i="74"/>
  <c r="L464" i="74" s="1"/>
  <c r="K465" i="74"/>
  <c r="K464" i="74" s="1"/>
  <c r="J465" i="74"/>
  <c r="I465" i="74"/>
  <c r="I464" i="74" s="1"/>
  <c r="H465" i="74"/>
  <c r="H464" i="74" s="1"/>
  <c r="G465" i="74"/>
  <c r="G464" i="74" s="1"/>
  <c r="S463" i="74"/>
  <c r="R462" i="74"/>
  <c r="Q462" i="74"/>
  <c r="P462" i="74"/>
  <c r="O462" i="74"/>
  <c r="N462" i="74"/>
  <c r="M462" i="74"/>
  <c r="L462" i="74"/>
  <c r="K462" i="74"/>
  <c r="J462" i="74"/>
  <c r="I462" i="74"/>
  <c r="H462" i="74"/>
  <c r="G462" i="74"/>
  <c r="S461" i="74"/>
  <c r="R460" i="74"/>
  <c r="Q460" i="74"/>
  <c r="P460" i="74"/>
  <c r="O460" i="74"/>
  <c r="N460" i="74"/>
  <c r="M460" i="74"/>
  <c r="L460" i="74"/>
  <c r="K460" i="74"/>
  <c r="J460" i="74"/>
  <c r="I460" i="74"/>
  <c r="H460" i="74"/>
  <c r="G460" i="74"/>
  <c r="S459" i="74"/>
  <c r="S458" i="74"/>
  <c r="G456" i="74"/>
  <c r="R456" i="74"/>
  <c r="Q456" i="74"/>
  <c r="P456" i="74"/>
  <c r="O456" i="74"/>
  <c r="N456" i="74"/>
  <c r="N454" i="74" s="1"/>
  <c r="M456" i="74"/>
  <c r="M454" i="74" s="1"/>
  <c r="L456" i="74"/>
  <c r="L454" i="74" s="1"/>
  <c r="K456" i="74"/>
  <c r="J456" i="74"/>
  <c r="J454" i="74" s="1"/>
  <c r="I456" i="74"/>
  <c r="I454" i="74" s="1"/>
  <c r="H456" i="74"/>
  <c r="H454" i="74" s="1"/>
  <c r="O454" i="74"/>
  <c r="R454" i="74"/>
  <c r="Q454" i="74"/>
  <c r="P454" i="74"/>
  <c r="K454" i="74"/>
  <c r="G454" i="74"/>
  <c r="S453" i="74"/>
  <c r="H450" i="74"/>
  <c r="S452" i="74"/>
  <c r="D347" i="76" s="1"/>
  <c r="S451" i="74"/>
  <c r="R450" i="74"/>
  <c r="R446" i="74" s="1"/>
  <c r="Q450" i="74"/>
  <c r="Q446" i="74" s="1"/>
  <c r="P450" i="74"/>
  <c r="P446" i="74" s="1"/>
  <c r="O450" i="74"/>
  <c r="O446" i="74" s="1"/>
  <c r="N450" i="74"/>
  <c r="M450" i="74"/>
  <c r="L450" i="74"/>
  <c r="L446" i="74" s="1"/>
  <c r="K450" i="74"/>
  <c r="K446" i="74" s="1"/>
  <c r="J450" i="74"/>
  <c r="J446" i="74" s="1"/>
  <c r="I450" i="74"/>
  <c r="I446" i="74" s="1"/>
  <c r="G450" i="74"/>
  <c r="G446" i="74" s="1"/>
  <c r="S449" i="74"/>
  <c r="N446" i="74"/>
  <c r="H446" i="74"/>
  <c r="S447" i="74"/>
  <c r="M446" i="74"/>
  <c r="S445" i="74"/>
  <c r="S443" i="74"/>
  <c r="S442" i="74"/>
  <c r="S440" i="74"/>
  <c r="R439" i="74"/>
  <c r="Q439" i="74"/>
  <c r="P439" i="74"/>
  <c r="O439" i="74"/>
  <c r="N439" i="74"/>
  <c r="M439" i="74"/>
  <c r="L439" i="74"/>
  <c r="K439" i="74"/>
  <c r="J439" i="74"/>
  <c r="I439" i="74"/>
  <c r="H439" i="74"/>
  <c r="G439" i="74"/>
  <c r="S437" i="74"/>
  <c r="D299" i="76" s="1"/>
  <c r="D298" i="76" s="1"/>
  <c r="R436" i="74"/>
  <c r="Q436" i="74"/>
  <c r="P436" i="74"/>
  <c r="O436" i="74"/>
  <c r="N436" i="74"/>
  <c r="M436" i="74"/>
  <c r="L436" i="74"/>
  <c r="K436" i="74"/>
  <c r="J436" i="74"/>
  <c r="I436" i="74"/>
  <c r="H436" i="74"/>
  <c r="G436" i="74"/>
  <c r="S435" i="74"/>
  <c r="R434" i="74"/>
  <c r="Q434" i="74"/>
  <c r="P434" i="74"/>
  <c r="O434" i="74"/>
  <c r="N434" i="74"/>
  <c r="M434" i="74"/>
  <c r="L434" i="74"/>
  <c r="K434" i="74"/>
  <c r="J434" i="74"/>
  <c r="I434" i="74"/>
  <c r="H434" i="74"/>
  <c r="G434" i="74"/>
  <c r="S432" i="74"/>
  <c r="D252" i="76" s="1"/>
  <c r="D251" i="76" s="1"/>
  <c r="R431" i="74"/>
  <c r="Q431" i="74"/>
  <c r="P431" i="74"/>
  <c r="O431" i="74"/>
  <c r="N431" i="74"/>
  <c r="M431" i="74"/>
  <c r="L431" i="74"/>
  <c r="K431" i="74"/>
  <c r="J431" i="74"/>
  <c r="I431" i="74"/>
  <c r="H431" i="74"/>
  <c r="G431" i="74"/>
  <c r="S418" i="74"/>
  <c r="S417" i="74"/>
  <c r="R416" i="74"/>
  <c r="R415" i="74" s="1"/>
  <c r="R414" i="74" s="1"/>
  <c r="Q416" i="74"/>
  <c r="Q415" i="74" s="1"/>
  <c r="Q414" i="74" s="1"/>
  <c r="P416" i="74"/>
  <c r="P415" i="74" s="1"/>
  <c r="P414" i="74" s="1"/>
  <c r="O416" i="74"/>
  <c r="O415" i="74" s="1"/>
  <c r="O414" i="74" s="1"/>
  <c r="N416" i="74"/>
  <c r="N415" i="74" s="1"/>
  <c r="N414" i="74" s="1"/>
  <c r="M415" i="74"/>
  <c r="M414" i="74" s="1"/>
  <c r="L416" i="74"/>
  <c r="L415" i="74" s="1"/>
  <c r="L414" i="74" s="1"/>
  <c r="K416" i="74"/>
  <c r="K415" i="74" s="1"/>
  <c r="K414" i="74" s="1"/>
  <c r="J416" i="74"/>
  <c r="J415" i="74" s="1"/>
  <c r="J414" i="74" s="1"/>
  <c r="I416" i="74"/>
  <c r="I415" i="74" s="1"/>
  <c r="H416" i="74"/>
  <c r="G416" i="74"/>
  <c r="G415" i="74" s="1"/>
  <c r="G414" i="74" s="1"/>
  <c r="S413" i="74"/>
  <c r="R412" i="74"/>
  <c r="R411" i="74" s="1"/>
  <c r="R410" i="74" s="1"/>
  <c r="Q412" i="74"/>
  <c r="Q411" i="74" s="1"/>
  <c r="Q410" i="74" s="1"/>
  <c r="P412" i="74"/>
  <c r="P411" i="74" s="1"/>
  <c r="P410" i="74" s="1"/>
  <c r="O412" i="74"/>
  <c r="O411" i="74" s="1"/>
  <c r="O410" i="74" s="1"/>
  <c r="N412" i="74"/>
  <c r="M412" i="74"/>
  <c r="M411" i="74" s="1"/>
  <c r="M410" i="74" s="1"/>
  <c r="L412" i="74"/>
  <c r="L411" i="74" s="1"/>
  <c r="L410" i="74" s="1"/>
  <c r="K412" i="74"/>
  <c r="K411" i="74" s="1"/>
  <c r="K410" i="74" s="1"/>
  <c r="J412" i="74"/>
  <c r="J411" i="74" s="1"/>
  <c r="J410" i="74" s="1"/>
  <c r="I412" i="74"/>
  <c r="I411" i="74" s="1"/>
  <c r="I410" i="74" s="1"/>
  <c r="H412" i="74"/>
  <c r="H411" i="74" s="1"/>
  <c r="H410" i="74" s="1"/>
  <c r="G412" i="74"/>
  <c r="G411" i="74" s="1"/>
  <c r="G410" i="74" s="1"/>
  <c r="S409" i="74"/>
  <c r="R408" i="74"/>
  <c r="Q408" i="74"/>
  <c r="P408" i="74"/>
  <c r="O408" i="74"/>
  <c r="N408" i="74"/>
  <c r="M408" i="74"/>
  <c r="L408" i="74"/>
  <c r="K408" i="74"/>
  <c r="J408" i="74"/>
  <c r="I408" i="74"/>
  <c r="H408" i="74"/>
  <c r="G408" i="74"/>
  <c r="S407" i="74"/>
  <c r="R406" i="74"/>
  <c r="Q406" i="74"/>
  <c r="P406" i="74"/>
  <c r="O406" i="74"/>
  <c r="N406" i="74"/>
  <c r="M406" i="74"/>
  <c r="L406" i="74"/>
  <c r="K406" i="74"/>
  <c r="J406" i="74"/>
  <c r="I406" i="74"/>
  <c r="H406" i="74"/>
  <c r="G406" i="74"/>
  <c r="S405" i="74"/>
  <c r="S404" i="74"/>
  <c r="S403" i="74"/>
  <c r="R402" i="74"/>
  <c r="R401" i="74" s="1"/>
  <c r="Q402" i="74"/>
  <c r="Q401" i="74" s="1"/>
  <c r="P402" i="74"/>
  <c r="P401" i="74" s="1"/>
  <c r="O402" i="74"/>
  <c r="O401" i="74" s="1"/>
  <c r="N402" i="74"/>
  <c r="N401" i="74" s="1"/>
  <c r="M402" i="74"/>
  <c r="M401" i="74" s="1"/>
  <c r="L402" i="74"/>
  <c r="L401" i="74" s="1"/>
  <c r="K402" i="74"/>
  <c r="K401" i="74" s="1"/>
  <c r="J402" i="74"/>
  <c r="J401" i="74" s="1"/>
  <c r="I402" i="74"/>
  <c r="H402" i="74"/>
  <c r="H401" i="74" s="1"/>
  <c r="G402" i="74"/>
  <c r="G401" i="74" s="1"/>
  <c r="S400" i="74"/>
  <c r="R399" i="74"/>
  <c r="R398" i="74" s="1"/>
  <c r="Q399" i="74"/>
  <c r="Q398" i="74" s="1"/>
  <c r="P399" i="74"/>
  <c r="P398" i="74" s="1"/>
  <c r="O399" i="74"/>
  <c r="O398" i="74" s="1"/>
  <c r="N399" i="74"/>
  <c r="N398" i="74" s="1"/>
  <c r="M399" i="74"/>
  <c r="M398" i="74" s="1"/>
  <c r="L399" i="74"/>
  <c r="L398" i="74" s="1"/>
  <c r="K399" i="74"/>
  <c r="K398" i="74" s="1"/>
  <c r="J399" i="74"/>
  <c r="I399" i="74"/>
  <c r="I398" i="74" s="1"/>
  <c r="H399" i="74"/>
  <c r="H398" i="74" s="1"/>
  <c r="G399" i="74"/>
  <c r="G398" i="74" s="1"/>
  <c r="S397" i="74"/>
  <c r="S396" i="74"/>
  <c r="R395" i="74"/>
  <c r="Q395" i="74"/>
  <c r="P395" i="74"/>
  <c r="O395" i="74"/>
  <c r="N395" i="74"/>
  <c r="M395" i="74"/>
  <c r="L395" i="74"/>
  <c r="K395" i="74"/>
  <c r="J395" i="74"/>
  <c r="I395" i="74"/>
  <c r="H395" i="74"/>
  <c r="G395" i="74"/>
  <c r="S394" i="74"/>
  <c r="S393" i="74"/>
  <c r="G392" i="74"/>
  <c r="R392" i="74"/>
  <c r="Q392" i="74"/>
  <c r="P392" i="74"/>
  <c r="O392" i="74"/>
  <c r="N392" i="74"/>
  <c r="M392" i="74"/>
  <c r="L392" i="74"/>
  <c r="K392" i="74"/>
  <c r="J392" i="74"/>
  <c r="I392" i="74"/>
  <c r="H392" i="74"/>
  <c r="S390" i="74"/>
  <c r="R389" i="74"/>
  <c r="Q389" i="74"/>
  <c r="P389" i="74"/>
  <c r="O389" i="74"/>
  <c r="N389" i="74"/>
  <c r="M389" i="74"/>
  <c r="L389" i="74"/>
  <c r="K389" i="74"/>
  <c r="J389" i="74"/>
  <c r="I389" i="74"/>
  <c r="H389" i="74"/>
  <c r="G389" i="74"/>
  <c r="S388" i="74"/>
  <c r="R387" i="74"/>
  <c r="R386" i="74" s="1"/>
  <c r="Q387" i="74"/>
  <c r="Q386" i="74" s="1"/>
  <c r="P387" i="74"/>
  <c r="P386" i="74" s="1"/>
  <c r="O387" i="74"/>
  <c r="O386" i="74" s="1"/>
  <c r="N387" i="74"/>
  <c r="N386" i="74" s="1"/>
  <c r="M387" i="74"/>
  <c r="M386" i="74" s="1"/>
  <c r="L387" i="74"/>
  <c r="L386" i="74" s="1"/>
  <c r="K387" i="74"/>
  <c r="K386" i="74" s="1"/>
  <c r="J387" i="74"/>
  <c r="J386" i="74" s="1"/>
  <c r="I387" i="74"/>
  <c r="I386" i="74" s="1"/>
  <c r="H387" i="74"/>
  <c r="G387" i="74"/>
  <c r="G386" i="74" s="1"/>
  <c r="S384" i="74"/>
  <c r="S383" i="74"/>
  <c r="R382" i="74"/>
  <c r="R381" i="74" s="1"/>
  <c r="R380" i="74" s="1"/>
  <c r="Q382" i="74"/>
  <c r="Q381" i="74" s="1"/>
  <c r="Q380" i="74" s="1"/>
  <c r="O382" i="74"/>
  <c r="O381" i="74" s="1"/>
  <c r="O380" i="74" s="1"/>
  <c r="N382" i="74"/>
  <c r="M382" i="74"/>
  <c r="M381" i="74" s="1"/>
  <c r="M380" i="74" s="1"/>
  <c r="L382" i="74"/>
  <c r="L381" i="74" s="1"/>
  <c r="L380" i="74" s="1"/>
  <c r="K382" i="74"/>
  <c r="K381" i="74" s="1"/>
  <c r="K380" i="74" s="1"/>
  <c r="J382" i="74"/>
  <c r="J381" i="74" s="1"/>
  <c r="J380" i="74" s="1"/>
  <c r="I382" i="74"/>
  <c r="I381" i="74" s="1"/>
  <c r="I380" i="74" s="1"/>
  <c r="H382" i="74"/>
  <c r="H381" i="74" s="1"/>
  <c r="H380" i="74" s="1"/>
  <c r="G382" i="74"/>
  <c r="G381" i="74" s="1"/>
  <c r="G380" i="74" s="1"/>
  <c r="S378" i="74"/>
  <c r="R377" i="74"/>
  <c r="R375" i="74" s="1"/>
  <c r="R374" i="74" s="1"/>
  <c r="Q377" i="74"/>
  <c r="Q375" i="74" s="1"/>
  <c r="Q374" i="74" s="1"/>
  <c r="P377" i="74"/>
  <c r="P376" i="74" s="1"/>
  <c r="O377" i="74"/>
  <c r="N377" i="74"/>
  <c r="N375" i="74" s="1"/>
  <c r="N374" i="74" s="1"/>
  <c r="M377" i="74"/>
  <c r="M376" i="74" s="1"/>
  <c r="L377" i="74"/>
  <c r="L376" i="74" s="1"/>
  <c r="K377" i="74"/>
  <c r="J377" i="74"/>
  <c r="J375" i="74" s="1"/>
  <c r="J374" i="74" s="1"/>
  <c r="I377" i="74"/>
  <c r="I375" i="74" s="1"/>
  <c r="I374" i="74" s="1"/>
  <c r="H377" i="74"/>
  <c r="H376" i="74" s="1"/>
  <c r="G377" i="74"/>
  <c r="S371" i="74"/>
  <c r="R370" i="74"/>
  <c r="R369" i="74" s="1"/>
  <c r="R368" i="74" s="1"/>
  <c r="R367" i="74" s="1"/>
  <c r="R366" i="74" s="1"/>
  <c r="Q370" i="74"/>
  <c r="Q369" i="74" s="1"/>
  <c r="Q368" i="74" s="1"/>
  <c r="Q367" i="74" s="1"/>
  <c r="Q366" i="74" s="1"/>
  <c r="P370" i="74"/>
  <c r="P369" i="74" s="1"/>
  <c r="P368" i="74" s="1"/>
  <c r="P367" i="74" s="1"/>
  <c r="P366" i="74" s="1"/>
  <c r="O370" i="74"/>
  <c r="O369" i="74" s="1"/>
  <c r="O368" i="74" s="1"/>
  <c r="O367" i="74" s="1"/>
  <c r="O366" i="74" s="1"/>
  <c r="N370" i="74"/>
  <c r="N369" i="74" s="1"/>
  <c r="N368" i="74" s="1"/>
  <c r="N367" i="74" s="1"/>
  <c r="N366" i="74" s="1"/>
  <c r="M370" i="74"/>
  <c r="M369" i="74" s="1"/>
  <c r="M368" i="74" s="1"/>
  <c r="M367" i="74" s="1"/>
  <c r="M366" i="74" s="1"/>
  <c r="L370" i="74"/>
  <c r="L369" i="74" s="1"/>
  <c r="L368" i="74" s="1"/>
  <c r="L367" i="74" s="1"/>
  <c r="L366" i="74" s="1"/>
  <c r="K370" i="74"/>
  <c r="K369" i="74" s="1"/>
  <c r="K368" i="74" s="1"/>
  <c r="K367" i="74" s="1"/>
  <c r="K366" i="74" s="1"/>
  <c r="J370" i="74"/>
  <c r="I370" i="74"/>
  <c r="I369" i="74" s="1"/>
  <c r="I368" i="74" s="1"/>
  <c r="I367" i="74" s="1"/>
  <c r="I366" i="74" s="1"/>
  <c r="H370" i="74"/>
  <c r="H369" i="74" s="1"/>
  <c r="H368" i="74" s="1"/>
  <c r="H367" i="74" s="1"/>
  <c r="H366" i="74" s="1"/>
  <c r="G370" i="74"/>
  <c r="G369" i="74" s="1"/>
  <c r="G368" i="74" s="1"/>
  <c r="G367" i="74" s="1"/>
  <c r="G366" i="74" s="1"/>
  <c r="S365" i="74"/>
  <c r="R364" i="74"/>
  <c r="Q364" i="74"/>
  <c r="P364" i="74"/>
  <c r="O364" i="74"/>
  <c r="N364" i="74"/>
  <c r="M364" i="74"/>
  <c r="L364" i="74"/>
  <c r="K364" i="74"/>
  <c r="J364" i="74"/>
  <c r="I364" i="74"/>
  <c r="H364" i="74"/>
  <c r="G364" i="74"/>
  <c r="S363" i="74"/>
  <c r="R362" i="74"/>
  <c r="Q362" i="74"/>
  <c r="P362" i="74"/>
  <c r="O362" i="74"/>
  <c r="N362" i="74"/>
  <c r="M362" i="74"/>
  <c r="L362" i="74"/>
  <c r="K362" i="74"/>
  <c r="J362" i="74"/>
  <c r="I362" i="74"/>
  <c r="H362" i="74"/>
  <c r="G362" i="74"/>
  <c r="R361" i="74"/>
  <c r="Q361" i="74"/>
  <c r="P361" i="74"/>
  <c r="O361" i="74"/>
  <c r="N361" i="74"/>
  <c r="M361" i="74"/>
  <c r="L361" i="74"/>
  <c r="K361" i="74"/>
  <c r="J361" i="74"/>
  <c r="I361" i="74"/>
  <c r="H361" i="74"/>
  <c r="G361" i="74"/>
  <c r="S357" i="74"/>
  <c r="R356" i="74"/>
  <c r="Q356" i="74"/>
  <c r="P356" i="74"/>
  <c r="O356" i="74"/>
  <c r="N356" i="74"/>
  <c r="M356" i="74"/>
  <c r="L356" i="74"/>
  <c r="K356" i="74"/>
  <c r="J356" i="74"/>
  <c r="I356" i="74"/>
  <c r="H356" i="74"/>
  <c r="G356" i="74"/>
  <c r="S355" i="74"/>
  <c r="R354" i="74"/>
  <c r="R353" i="74" s="1"/>
  <c r="Q354" i="74"/>
  <c r="Q353" i="74" s="1"/>
  <c r="P354" i="74"/>
  <c r="P353" i="74" s="1"/>
  <c r="O354" i="74"/>
  <c r="O353" i="74" s="1"/>
  <c r="N354" i="74"/>
  <c r="N353" i="74" s="1"/>
  <c r="M354" i="74"/>
  <c r="M353" i="74" s="1"/>
  <c r="L354" i="74"/>
  <c r="L353" i="74" s="1"/>
  <c r="K354" i="74"/>
  <c r="K353" i="74" s="1"/>
  <c r="J354" i="74"/>
  <c r="J353" i="74" s="1"/>
  <c r="I354" i="74"/>
  <c r="I353" i="74" s="1"/>
  <c r="H354" i="74"/>
  <c r="G354" i="74"/>
  <c r="G353" i="74" s="1"/>
  <c r="S350" i="74"/>
  <c r="R349" i="74"/>
  <c r="R348" i="74" s="1"/>
  <c r="R347" i="74" s="1"/>
  <c r="Q349" i="74"/>
  <c r="Q348" i="74" s="1"/>
  <c r="Q347" i="74" s="1"/>
  <c r="P349" i="74"/>
  <c r="P348" i="74" s="1"/>
  <c r="P347" i="74" s="1"/>
  <c r="O349" i="74"/>
  <c r="O348" i="74" s="1"/>
  <c r="O347" i="74" s="1"/>
  <c r="N349" i="74"/>
  <c r="N348" i="74" s="1"/>
  <c r="N347" i="74" s="1"/>
  <c r="M349" i="74"/>
  <c r="M348" i="74" s="1"/>
  <c r="M347" i="74" s="1"/>
  <c r="L349" i="74"/>
  <c r="L348" i="74" s="1"/>
  <c r="L347" i="74" s="1"/>
  <c r="K349" i="74"/>
  <c r="K348" i="74" s="1"/>
  <c r="K347" i="74" s="1"/>
  <c r="J349" i="74"/>
  <c r="J348" i="74" s="1"/>
  <c r="J347" i="74" s="1"/>
  <c r="I349" i="74"/>
  <c r="H349" i="74"/>
  <c r="H348" i="74" s="1"/>
  <c r="G349" i="74"/>
  <c r="G348" i="74" s="1"/>
  <c r="G347" i="74" s="1"/>
  <c r="S345" i="74"/>
  <c r="R344" i="74"/>
  <c r="Q344" i="74"/>
  <c r="P344" i="74"/>
  <c r="O344" i="74"/>
  <c r="N344" i="74"/>
  <c r="M344" i="74"/>
  <c r="L344" i="74"/>
  <c r="K344" i="74"/>
  <c r="J344" i="74"/>
  <c r="I344" i="74"/>
  <c r="H344" i="74"/>
  <c r="G344" i="74"/>
  <c r="S343" i="74"/>
  <c r="R342" i="74"/>
  <c r="Q342" i="74"/>
  <c r="P342" i="74"/>
  <c r="O342" i="74"/>
  <c r="N342" i="74"/>
  <c r="M342" i="74"/>
  <c r="L342" i="74"/>
  <c r="K342" i="74"/>
  <c r="J342" i="74"/>
  <c r="I342" i="74"/>
  <c r="H342" i="74"/>
  <c r="G342" i="74"/>
  <c r="P332" i="74"/>
  <c r="S333" i="74"/>
  <c r="R332" i="74"/>
  <c r="Q332" i="74"/>
  <c r="N332" i="74"/>
  <c r="N329" i="74" s="1"/>
  <c r="N328" i="74" s="1"/>
  <c r="M332" i="74"/>
  <c r="M329" i="74" s="1"/>
  <c r="M328" i="74" s="1"/>
  <c r="L332" i="74"/>
  <c r="L329" i="74" s="1"/>
  <c r="L328" i="74" s="1"/>
  <c r="K332" i="74"/>
  <c r="J332" i="74"/>
  <c r="J329" i="74" s="1"/>
  <c r="J328" i="74" s="1"/>
  <c r="I332" i="74"/>
  <c r="I329" i="74" s="1"/>
  <c r="I328" i="74" s="1"/>
  <c r="H332" i="74"/>
  <c r="H329" i="74" s="1"/>
  <c r="H328" i="74" s="1"/>
  <c r="G332" i="74"/>
  <c r="S331" i="74"/>
  <c r="S330" i="74"/>
  <c r="R329" i="74"/>
  <c r="R328" i="74" s="1"/>
  <c r="Q329" i="74"/>
  <c r="Q328" i="74" s="1"/>
  <c r="P329" i="74"/>
  <c r="P328" i="74" s="1"/>
  <c r="K329" i="74"/>
  <c r="K328" i="74" s="1"/>
  <c r="G329" i="74"/>
  <c r="S327" i="74"/>
  <c r="R326" i="74"/>
  <c r="R325" i="74" s="1"/>
  <c r="Q326" i="74"/>
  <c r="Q325" i="74" s="1"/>
  <c r="P326" i="74"/>
  <c r="P325" i="74" s="1"/>
  <c r="O326" i="74"/>
  <c r="O325" i="74" s="1"/>
  <c r="N326" i="74"/>
  <c r="N325" i="74" s="1"/>
  <c r="M326" i="74"/>
  <c r="M325" i="74" s="1"/>
  <c r="L326" i="74"/>
  <c r="L325" i="74" s="1"/>
  <c r="K326" i="74"/>
  <c r="K325" i="74" s="1"/>
  <c r="J326" i="74"/>
  <c r="J325" i="74" s="1"/>
  <c r="I326" i="74"/>
  <c r="I325" i="74" s="1"/>
  <c r="H326" i="74"/>
  <c r="H325" i="74" s="1"/>
  <c r="G326" i="74"/>
  <c r="G325" i="74" s="1"/>
  <c r="S322" i="74"/>
  <c r="S321" i="74"/>
  <c r="S320" i="74"/>
  <c r="R319" i="74"/>
  <c r="R318" i="74" s="1"/>
  <c r="Q319" i="74"/>
  <c r="Q318" i="74" s="1"/>
  <c r="P319" i="74"/>
  <c r="P318" i="74" s="1"/>
  <c r="O319" i="74"/>
  <c r="O318" i="74" s="1"/>
  <c r="N319" i="74"/>
  <c r="N318" i="74" s="1"/>
  <c r="M319" i="74"/>
  <c r="M318" i="74" s="1"/>
  <c r="L319" i="74"/>
  <c r="L318" i="74" s="1"/>
  <c r="K319" i="74"/>
  <c r="K318" i="74" s="1"/>
  <c r="J319" i="74"/>
  <c r="J318" i="74" s="1"/>
  <c r="I319" i="74"/>
  <c r="H319" i="74"/>
  <c r="H318" i="74" s="1"/>
  <c r="G319" i="74"/>
  <c r="G318" i="74" s="1"/>
  <c r="S317" i="74"/>
  <c r="R316" i="74"/>
  <c r="R315" i="74" s="1"/>
  <c r="Q316" i="74"/>
  <c r="Q315" i="74" s="1"/>
  <c r="P316" i="74"/>
  <c r="P315" i="74" s="1"/>
  <c r="O316" i="74"/>
  <c r="O315" i="74" s="1"/>
  <c r="N316" i="74"/>
  <c r="N315" i="74" s="1"/>
  <c r="M316" i="74"/>
  <c r="M315" i="74" s="1"/>
  <c r="L316" i="74"/>
  <c r="K316" i="74"/>
  <c r="K315" i="74" s="1"/>
  <c r="J316" i="74"/>
  <c r="J315" i="74" s="1"/>
  <c r="I316" i="74"/>
  <c r="I315" i="74" s="1"/>
  <c r="H316" i="74"/>
  <c r="H315" i="74" s="1"/>
  <c r="G316" i="74"/>
  <c r="G315" i="74" s="1"/>
  <c r="S310" i="74"/>
  <c r="R309" i="74"/>
  <c r="R308" i="74" s="1"/>
  <c r="Q309" i="74"/>
  <c r="Q308" i="74" s="1"/>
  <c r="P309" i="74"/>
  <c r="O309" i="74"/>
  <c r="O308" i="74" s="1"/>
  <c r="N309" i="74"/>
  <c r="N308" i="74" s="1"/>
  <c r="M309" i="74"/>
  <c r="M308" i="74" s="1"/>
  <c r="L309" i="74"/>
  <c r="L308" i="74" s="1"/>
  <c r="K309" i="74"/>
  <c r="K308" i="74" s="1"/>
  <c r="J309" i="74"/>
  <c r="J308" i="74" s="1"/>
  <c r="I309" i="74"/>
  <c r="I308" i="74" s="1"/>
  <c r="H309" i="74"/>
  <c r="H308" i="74" s="1"/>
  <c r="G309" i="74"/>
  <c r="G308" i="74" s="1"/>
  <c r="S307" i="74"/>
  <c r="R306" i="74"/>
  <c r="Q306" i="74"/>
  <c r="P306" i="74"/>
  <c r="O306" i="74"/>
  <c r="N306" i="74"/>
  <c r="M306" i="74"/>
  <c r="L306" i="74"/>
  <c r="K306" i="74"/>
  <c r="J306" i="74"/>
  <c r="I306" i="74"/>
  <c r="H306" i="74"/>
  <c r="G306" i="74"/>
  <c r="S305" i="74"/>
  <c r="R304" i="74"/>
  <c r="Q304" i="74"/>
  <c r="P304" i="74"/>
  <c r="O304" i="74"/>
  <c r="N304" i="74"/>
  <c r="M304" i="74"/>
  <c r="L304" i="74"/>
  <c r="K304" i="74"/>
  <c r="J304" i="74"/>
  <c r="I304" i="74"/>
  <c r="H304" i="74"/>
  <c r="G304" i="74"/>
  <c r="S301" i="74"/>
  <c r="P300" i="74"/>
  <c r="P298" i="74" s="1"/>
  <c r="N300" i="74"/>
  <c r="N298" i="74" s="1"/>
  <c r="S299" i="74"/>
  <c r="R298" i="74"/>
  <c r="Q298" i="74"/>
  <c r="O298" i="74"/>
  <c r="M298" i="74"/>
  <c r="L298" i="74"/>
  <c r="K298" i="74"/>
  <c r="J298" i="74"/>
  <c r="I298" i="74"/>
  <c r="H298" i="74"/>
  <c r="G298" i="74"/>
  <c r="M296" i="74"/>
  <c r="K296" i="74"/>
  <c r="S297" i="74"/>
  <c r="R296" i="74"/>
  <c r="Q296" i="74"/>
  <c r="P296" i="74"/>
  <c r="O296" i="74"/>
  <c r="N296" i="74"/>
  <c r="L296" i="74"/>
  <c r="J296" i="74"/>
  <c r="I296" i="74"/>
  <c r="G296" i="74"/>
  <c r="S294" i="74"/>
  <c r="S293" i="74" s="1"/>
  <c r="R293" i="74"/>
  <c r="Q293" i="74"/>
  <c r="P293" i="74"/>
  <c r="O293" i="74"/>
  <c r="N293" i="74"/>
  <c r="M293" i="74"/>
  <c r="L293" i="74"/>
  <c r="K293" i="74"/>
  <c r="J293" i="74"/>
  <c r="I293" i="74"/>
  <c r="H293" i="74"/>
  <c r="G293" i="74"/>
  <c r="S292" i="74"/>
  <c r="R291" i="74"/>
  <c r="Q291" i="74"/>
  <c r="P291" i="74"/>
  <c r="O291" i="74"/>
  <c r="N291" i="74"/>
  <c r="M291" i="74"/>
  <c r="L291" i="74"/>
  <c r="K291" i="74"/>
  <c r="J291" i="74"/>
  <c r="I291" i="74"/>
  <c r="H291" i="74"/>
  <c r="G291" i="74"/>
  <c r="S290" i="74"/>
  <c r="S289" i="74"/>
  <c r="S288" i="74"/>
  <c r="R287" i="74"/>
  <c r="Q287" i="74"/>
  <c r="P287" i="74"/>
  <c r="O287" i="74"/>
  <c r="N287" i="74"/>
  <c r="M287" i="74"/>
  <c r="L287" i="74"/>
  <c r="K287" i="74"/>
  <c r="J287" i="74"/>
  <c r="I287" i="74"/>
  <c r="H287" i="74"/>
  <c r="G287" i="74"/>
  <c r="S285" i="74"/>
  <c r="R284" i="74"/>
  <c r="Q284" i="74"/>
  <c r="P284" i="74"/>
  <c r="O284" i="74"/>
  <c r="N284" i="74"/>
  <c r="M284" i="74"/>
  <c r="L284" i="74"/>
  <c r="K284" i="74"/>
  <c r="J284" i="74"/>
  <c r="I284" i="74"/>
  <c r="H284" i="74"/>
  <c r="G284" i="74"/>
  <c r="S281" i="74"/>
  <c r="R280" i="74"/>
  <c r="Q280" i="74"/>
  <c r="P280" i="74"/>
  <c r="O280" i="74"/>
  <c r="N280" i="74"/>
  <c r="M280" i="74"/>
  <c r="L280" i="74"/>
  <c r="K280" i="74"/>
  <c r="J280" i="74"/>
  <c r="I280" i="74"/>
  <c r="H280" i="74"/>
  <c r="G280" i="74"/>
  <c r="S279" i="74"/>
  <c r="R278" i="74"/>
  <c r="R277" i="74" s="1"/>
  <c r="Q278" i="74"/>
  <c r="Q277" i="74" s="1"/>
  <c r="P278" i="74"/>
  <c r="P277" i="74" s="1"/>
  <c r="O278" i="74"/>
  <c r="O277" i="74" s="1"/>
  <c r="N278" i="74"/>
  <c r="N277" i="74" s="1"/>
  <c r="M278" i="74"/>
  <c r="M277" i="74" s="1"/>
  <c r="L278" i="74"/>
  <c r="L277" i="74" s="1"/>
  <c r="K278" i="74"/>
  <c r="K277" i="74" s="1"/>
  <c r="J278" i="74"/>
  <c r="J277" i="74" s="1"/>
  <c r="I278" i="74"/>
  <c r="I277" i="74" s="1"/>
  <c r="H278" i="74"/>
  <c r="G278" i="74"/>
  <c r="G277" i="74" s="1"/>
  <c r="J272" i="74"/>
  <c r="J271" i="74" s="1"/>
  <c r="J270" i="74" s="1"/>
  <c r="J269" i="74" s="1"/>
  <c r="R272" i="74"/>
  <c r="R271" i="74" s="1"/>
  <c r="R270" i="74" s="1"/>
  <c r="R269" i="74" s="1"/>
  <c r="Q272" i="74"/>
  <c r="Q271" i="74" s="1"/>
  <c r="Q270" i="74" s="1"/>
  <c r="Q269" i="74" s="1"/>
  <c r="P272" i="74"/>
  <c r="P271" i="74" s="1"/>
  <c r="P270" i="74" s="1"/>
  <c r="P269" i="74" s="1"/>
  <c r="O272" i="74"/>
  <c r="O271" i="74" s="1"/>
  <c r="O270" i="74" s="1"/>
  <c r="O269" i="74" s="1"/>
  <c r="N272" i="74"/>
  <c r="M272" i="74"/>
  <c r="M271" i="74" s="1"/>
  <c r="M270" i="74" s="1"/>
  <c r="M269" i="74" s="1"/>
  <c r="L272" i="74"/>
  <c r="L271" i="74" s="1"/>
  <c r="L270" i="74" s="1"/>
  <c r="L269" i="74" s="1"/>
  <c r="K272" i="74"/>
  <c r="K271" i="74" s="1"/>
  <c r="I272" i="74"/>
  <c r="I271" i="74" s="1"/>
  <c r="I270" i="74" s="1"/>
  <c r="G272" i="74"/>
  <c r="G271" i="74" s="1"/>
  <c r="G270" i="74" s="1"/>
  <c r="G269" i="74" s="1"/>
  <c r="S268" i="74"/>
  <c r="R267" i="74"/>
  <c r="R266" i="74" s="1"/>
  <c r="R265" i="74" s="1"/>
  <c r="R264" i="74" s="1"/>
  <c r="Q267" i="74"/>
  <c r="Q266" i="74" s="1"/>
  <c r="Q265" i="74" s="1"/>
  <c r="Q264" i="74" s="1"/>
  <c r="P267" i="74"/>
  <c r="P266" i="74" s="1"/>
  <c r="P265" i="74" s="1"/>
  <c r="P264" i="74" s="1"/>
  <c r="O267" i="74"/>
  <c r="O266" i="74" s="1"/>
  <c r="O265" i="74" s="1"/>
  <c r="O264" i="74" s="1"/>
  <c r="N267" i="74"/>
  <c r="N266" i="74" s="1"/>
  <c r="N265" i="74" s="1"/>
  <c r="N264" i="74" s="1"/>
  <c r="M267" i="74"/>
  <c r="M266" i="74" s="1"/>
  <c r="M265" i="74" s="1"/>
  <c r="M264" i="74" s="1"/>
  <c r="L267" i="74"/>
  <c r="L266" i="74" s="1"/>
  <c r="L265" i="74" s="1"/>
  <c r="L264" i="74" s="1"/>
  <c r="K267" i="74"/>
  <c r="J267" i="74"/>
  <c r="J266" i="74" s="1"/>
  <c r="J265" i="74" s="1"/>
  <c r="I267" i="74"/>
  <c r="I266" i="74" s="1"/>
  <c r="I265" i="74" s="1"/>
  <c r="I264" i="74" s="1"/>
  <c r="H267" i="74"/>
  <c r="H266" i="74" s="1"/>
  <c r="H265" i="74" s="1"/>
  <c r="H264" i="74" s="1"/>
  <c r="G267" i="74"/>
  <c r="G266" i="74" s="1"/>
  <c r="G265" i="74" s="1"/>
  <c r="G264" i="74" s="1"/>
  <c r="S263" i="74"/>
  <c r="R262" i="74"/>
  <c r="R261" i="74" s="1"/>
  <c r="R260" i="74" s="1"/>
  <c r="R259" i="74" s="1"/>
  <c r="Q262" i="74"/>
  <c r="Q261" i="74" s="1"/>
  <c r="Q260" i="74" s="1"/>
  <c r="Q259" i="74" s="1"/>
  <c r="P262" i="74"/>
  <c r="P261" i="74" s="1"/>
  <c r="P260" i="74" s="1"/>
  <c r="P259" i="74" s="1"/>
  <c r="O262" i="74"/>
  <c r="O261" i="74" s="1"/>
  <c r="O260" i="74" s="1"/>
  <c r="O259" i="74" s="1"/>
  <c r="N262" i="74"/>
  <c r="N261" i="74" s="1"/>
  <c r="N260" i="74" s="1"/>
  <c r="N259" i="74" s="1"/>
  <c r="M262" i="74"/>
  <c r="M261" i="74" s="1"/>
  <c r="M260" i="74" s="1"/>
  <c r="M259" i="74" s="1"/>
  <c r="L262" i="74"/>
  <c r="L261" i="74" s="1"/>
  <c r="L260" i="74" s="1"/>
  <c r="L259" i="74" s="1"/>
  <c r="K262" i="74"/>
  <c r="K261" i="74" s="1"/>
  <c r="K260" i="74" s="1"/>
  <c r="K259" i="74" s="1"/>
  <c r="J262" i="74"/>
  <c r="J261" i="74" s="1"/>
  <c r="J260" i="74" s="1"/>
  <c r="J259" i="74" s="1"/>
  <c r="I262" i="74"/>
  <c r="I261" i="74" s="1"/>
  <c r="I260" i="74" s="1"/>
  <c r="I259" i="74" s="1"/>
  <c r="H262" i="74"/>
  <c r="H261" i="74" s="1"/>
  <c r="H260" i="74" s="1"/>
  <c r="H259" i="74" s="1"/>
  <c r="G262" i="74"/>
  <c r="G261" i="74" s="1"/>
  <c r="S258" i="74"/>
  <c r="R257" i="74"/>
  <c r="R256" i="74" s="1"/>
  <c r="R255" i="74" s="1"/>
  <c r="R254" i="74" s="1"/>
  <c r="R253" i="74" s="1"/>
  <c r="Q257" i="74"/>
  <c r="Q256" i="74" s="1"/>
  <c r="Q255" i="74" s="1"/>
  <c r="Q254" i="74" s="1"/>
  <c r="Q253" i="74" s="1"/>
  <c r="P257" i="74"/>
  <c r="P256" i="74" s="1"/>
  <c r="P255" i="74" s="1"/>
  <c r="P254" i="74" s="1"/>
  <c r="P253" i="74" s="1"/>
  <c r="O257" i="74"/>
  <c r="O256" i="74" s="1"/>
  <c r="O255" i="74" s="1"/>
  <c r="O254" i="74" s="1"/>
  <c r="O253" i="74" s="1"/>
  <c r="N257" i="74"/>
  <c r="N256" i="74" s="1"/>
  <c r="N255" i="74" s="1"/>
  <c r="N254" i="74" s="1"/>
  <c r="N253" i="74" s="1"/>
  <c r="M257" i="74"/>
  <c r="M256" i="74" s="1"/>
  <c r="M255" i="74" s="1"/>
  <c r="M254" i="74" s="1"/>
  <c r="M253" i="74" s="1"/>
  <c r="L257" i="74"/>
  <c r="L256" i="74" s="1"/>
  <c r="L255" i="74" s="1"/>
  <c r="L254" i="74" s="1"/>
  <c r="L253" i="74" s="1"/>
  <c r="K257" i="74"/>
  <c r="K256" i="74" s="1"/>
  <c r="K255" i="74" s="1"/>
  <c r="K254" i="74" s="1"/>
  <c r="K253" i="74" s="1"/>
  <c r="J257" i="74"/>
  <c r="J256" i="74" s="1"/>
  <c r="J255" i="74" s="1"/>
  <c r="J254" i="74" s="1"/>
  <c r="J253" i="74" s="1"/>
  <c r="I257" i="74"/>
  <c r="H257" i="74"/>
  <c r="H256" i="74" s="1"/>
  <c r="H255" i="74" s="1"/>
  <c r="H254" i="74" s="1"/>
  <c r="H253" i="74" s="1"/>
  <c r="G257" i="74"/>
  <c r="G256" i="74" s="1"/>
  <c r="G255" i="74" s="1"/>
  <c r="S252" i="74"/>
  <c r="R251" i="74"/>
  <c r="R250" i="74" s="1"/>
  <c r="R249" i="74" s="1"/>
  <c r="Q251" i="74"/>
  <c r="Q250" i="74" s="1"/>
  <c r="Q249" i="74" s="1"/>
  <c r="P251" i="74"/>
  <c r="P250" i="74" s="1"/>
  <c r="P249" i="74" s="1"/>
  <c r="O251" i="74"/>
  <c r="O250" i="74" s="1"/>
  <c r="O249" i="74" s="1"/>
  <c r="N251" i="74"/>
  <c r="N250" i="74" s="1"/>
  <c r="N249" i="74" s="1"/>
  <c r="M251" i="74"/>
  <c r="M250" i="74" s="1"/>
  <c r="M249" i="74" s="1"/>
  <c r="L251" i="74"/>
  <c r="L250" i="74" s="1"/>
  <c r="L249" i="74" s="1"/>
  <c r="K251" i="74"/>
  <c r="K250" i="74" s="1"/>
  <c r="K249" i="74" s="1"/>
  <c r="J251" i="74"/>
  <c r="I251" i="74"/>
  <c r="I250" i="74" s="1"/>
  <c r="I249" i="74" s="1"/>
  <c r="H251" i="74"/>
  <c r="H250" i="74" s="1"/>
  <c r="H249" i="74" s="1"/>
  <c r="G251" i="74"/>
  <c r="G250" i="74" s="1"/>
  <c r="G249" i="74" s="1"/>
  <c r="S248" i="74"/>
  <c r="R247" i="74"/>
  <c r="R246" i="74" s="1"/>
  <c r="R245" i="74" s="1"/>
  <c r="Q247" i="74"/>
  <c r="Q246" i="74" s="1"/>
  <c r="Q245" i="74" s="1"/>
  <c r="P247" i="74"/>
  <c r="P246" i="74" s="1"/>
  <c r="P245" i="74" s="1"/>
  <c r="O247" i="74"/>
  <c r="O246" i="74" s="1"/>
  <c r="O245" i="74" s="1"/>
  <c r="N247" i="74"/>
  <c r="N246" i="74" s="1"/>
  <c r="N245" i="74" s="1"/>
  <c r="M247" i="74"/>
  <c r="M246" i="74" s="1"/>
  <c r="M245" i="74" s="1"/>
  <c r="L247" i="74"/>
  <c r="L246" i="74" s="1"/>
  <c r="L245" i="74" s="1"/>
  <c r="K247" i="74"/>
  <c r="K246" i="74" s="1"/>
  <c r="K245" i="74" s="1"/>
  <c r="J247" i="74"/>
  <c r="J246" i="74" s="1"/>
  <c r="J245" i="74" s="1"/>
  <c r="I247" i="74"/>
  <c r="I246" i="74" s="1"/>
  <c r="H247" i="74"/>
  <c r="H246" i="74" s="1"/>
  <c r="H245" i="74" s="1"/>
  <c r="G247" i="74"/>
  <c r="G246" i="74" s="1"/>
  <c r="G245" i="74" s="1"/>
  <c r="S244" i="74"/>
  <c r="R243" i="74"/>
  <c r="R242" i="74" s="1"/>
  <c r="R241" i="74" s="1"/>
  <c r="Q243" i="74"/>
  <c r="Q242" i="74" s="1"/>
  <c r="Q241" i="74" s="1"/>
  <c r="P243" i="74"/>
  <c r="P242" i="74" s="1"/>
  <c r="P241" i="74" s="1"/>
  <c r="O243" i="74"/>
  <c r="O242" i="74" s="1"/>
  <c r="O241" i="74" s="1"/>
  <c r="N243" i="74"/>
  <c r="N242" i="74" s="1"/>
  <c r="N241" i="74" s="1"/>
  <c r="M243" i="74"/>
  <c r="M242" i="74" s="1"/>
  <c r="M241" i="74" s="1"/>
  <c r="L243" i="74"/>
  <c r="L242" i="74" s="1"/>
  <c r="L241" i="74" s="1"/>
  <c r="K243" i="74"/>
  <c r="K242" i="74" s="1"/>
  <c r="K241" i="74" s="1"/>
  <c r="J243" i="74"/>
  <c r="J242" i="74" s="1"/>
  <c r="J241" i="74" s="1"/>
  <c r="I243" i="74"/>
  <c r="I242" i="74" s="1"/>
  <c r="I241" i="74" s="1"/>
  <c r="H243" i="74"/>
  <c r="G243" i="74"/>
  <c r="G242" i="74" s="1"/>
  <c r="G241" i="74" s="1"/>
  <c r="S239" i="74"/>
  <c r="R238" i="74"/>
  <c r="R237" i="74" s="1"/>
  <c r="R236" i="74" s="1"/>
  <c r="R235" i="74" s="1"/>
  <c r="Q238" i="74"/>
  <c r="Q237" i="74" s="1"/>
  <c r="Q236" i="74" s="1"/>
  <c r="Q235" i="74" s="1"/>
  <c r="P238" i="74"/>
  <c r="P237" i="74" s="1"/>
  <c r="P236" i="74" s="1"/>
  <c r="P235" i="74" s="1"/>
  <c r="O238" i="74"/>
  <c r="O237" i="74" s="1"/>
  <c r="O236" i="74" s="1"/>
  <c r="O235" i="74" s="1"/>
  <c r="N238" i="74"/>
  <c r="N237" i="74" s="1"/>
  <c r="N236" i="74" s="1"/>
  <c r="N235" i="74" s="1"/>
  <c r="M238" i="74"/>
  <c r="M237" i="74" s="1"/>
  <c r="M236" i="74" s="1"/>
  <c r="M235" i="74" s="1"/>
  <c r="L238" i="74"/>
  <c r="L237" i="74" s="1"/>
  <c r="L236" i="74" s="1"/>
  <c r="L235" i="74" s="1"/>
  <c r="K238" i="74"/>
  <c r="K237" i="74" s="1"/>
  <c r="K236" i="74" s="1"/>
  <c r="K235" i="74" s="1"/>
  <c r="J238" i="74"/>
  <c r="J237" i="74" s="1"/>
  <c r="I238" i="74"/>
  <c r="I237" i="74" s="1"/>
  <c r="I236" i="74" s="1"/>
  <c r="I235" i="74" s="1"/>
  <c r="H238" i="74"/>
  <c r="G238" i="74"/>
  <c r="G237" i="74" s="1"/>
  <c r="G236" i="74" s="1"/>
  <c r="G235" i="74" s="1"/>
  <c r="S234" i="74"/>
  <c r="R233" i="74"/>
  <c r="Q233" i="74"/>
  <c r="P233" i="74"/>
  <c r="O233" i="74"/>
  <c r="N233" i="74"/>
  <c r="M233" i="74"/>
  <c r="L233" i="74"/>
  <c r="K233" i="74"/>
  <c r="J233" i="74"/>
  <c r="I233" i="74"/>
  <c r="H233" i="74"/>
  <c r="G233" i="74"/>
  <c r="S232" i="74"/>
  <c r="R231" i="74"/>
  <c r="Q231" i="74"/>
  <c r="Q230" i="74" s="1"/>
  <c r="P231" i="74"/>
  <c r="P230" i="74" s="1"/>
  <c r="O231" i="74"/>
  <c r="O230" i="74" s="1"/>
  <c r="N231" i="74"/>
  <c r="N230" i="74" s="1"/>
  <c r="M231" i="74"/>
  <c r="M230" i="74" s="1"/>
  <c r="L231" i="74"/>
  <c r="L230" i="74" s="1"/>
  <c r="K231" i="74"/>
  <c r="K230" i="74" s="1"/>
  <c r="J231" i="74"/>
  <c r="J230" i="74" s="1"/>
  <c r="I231" i="74"/>
  <c r="I230" i="74" s="1"/>
  <c r="H231" i="74"/>
  <c r="H230" i="74" s="1"/>
  <c r="G231" i="74"/>
  <c r="G230" i="74" s="1"/>
  <c r="S226" i="74"/>
  <c r="H224" i="74"/>
  <c r="H223" i="74" s="1"/>
  <c r="S225" i="74"/>
  <c r="R224" i="74"/>
  <c r="R223" i="74" s="1"/>
  <c r="Q224" i="74"/>
  <c r="Q223" i="74" s="1"/>
  <c r="P224" i="74"/>
  <c r="P223" i="74" s="1"/>
  <c r="O224" i="74"/>
  <c r="O223" i="74" s="1"/>
  <c r="N224" i="74"/>
  <c r="N223" i="74" s="1"/>
  <c r="M224" i="74"/>
  <c r="M223" i="74" s="1"/>
  <c r="L224" i="74"/>
  <c r="L223" i="74" s="1"/>
  <c r="K224" i="74"/>
  <c r="K223" i="74" s="1"/>
  <c r="J224" i="74"/>
  <c r="J223" i="74" s="1"/>
  <c r="I224" i="74"/>
  <c r="I223" i="74" s="1"/>
  <c r="G224" i="74"/>
  <c r="G223" i="74" s="1"/>
  <c r="S220" i="74"/>
  <c r="R219" i="74"/>
  <c r="R218" i="74" s="1"/>
  <c r="R217" i="74" s="1"/>
  <c r="R216" i="74" s="1"/>
  <c r="Q219" i="74"/>
  <c r="Q218" i="74" s="1"/>
  <c r="Q217" i="74" s="1"/>
  <c r="Q216" i="74" s="1"/>
  <c r="P219" i="74"/>
  <c r="P218" i="74" s="1"/>
  <c r="O219" i="74"/>
  <c r="O218" i="74" s="1"/>
  <c r="O217" i="74" s="1"/>
  <c r="O216" i="74" s="1"/>
  <c r="N219" i="74"/>
  <c r="N218" i="74" s="1"/>
  <c r="N217" i="74" s="1"/>
  <c r="N216" i="74" s="1"/>
  <c r="M219" i="74"/>
  <c r="M218" i="74" s="1"/>
  <c r="M217" i="74" s="1"/>
  <c r="M216" i="74" s="1"/>
  <c r="L219" i="74"/>
  <c r="L218" i="74" s="1"/>
  <c r="L217" i="74" s="1"/>
  <c r="L216" i="74" s="1"/>
  <c r="K219" i="74"/>
  <c r="K218" i="74" s="1"/>
  <c r="K217" i="74" s="1"/>
  <c r="K216" i="74" s="1"/>
  <c r="J219" i="74"/>
  <c r="J218" i="74" s="1"/>
  <c r="J217" i="74" s="1"/>
  <c r="J216" i="74" s="1"/>
  <c r="I219" i="74"/>
  <c r="I218" i="74" s="1"/>
  <c r="I217" i="74" s="1"/>
  <c r="I216" i="74" s="1"/>
  <c r="H219" i="74"/>
  <c r="H218" i="74" s="1"/>
  <c r="H217" i="74" s="1"/>
  <c r="H216" i="74" s="1"/>
  <c r="G219" i="74"/>
  <c r="G218" i="74" s="1"/>
  <c r="G217" i="74" s="1"/>
  <c r="G216" i="74" s="1"/>
  <c r="S215" i="74"/>
  <c r="D146" i="76" s="1"/>
  <c r="D145" i="76" s="1"/>
  <c r="D144" i="76" s="1"/>
  <c r="R214" i="74"/>
  <c r="R213" i="74" s="1"/>
  <c r="Q214" i="74"/>
  <c r="Q213" i="74" s="1"/>
  <c r="P214" i="74"/>
  <c r="P213" i="74" s="1"/>
  <c r="O214" i="74"/>
  <c r="O213" i="74" s="1"/>
  <c r="N214" i="74"/>
  <c r="N213" i="74" s="1"/>
  <c r="M214" i="74"/>
  <c r="M213" i="74" s="1"/>
  <c r="L214" i="74"/>
  <c r="L213" i="74" s="1"/>
  <c r="K214" i="74"/>
  <c r="K213" i="74" s="1"/>
  <c r="J214" i="74"/>
  <c r="J213" i="74" s="1"/>
  <c r="I214" i="74"/>
  <c r="I213" i="74" s="1"/>
  <c r="H214" i="74"/>
  <c r="H213" i="74" s="1"/>
  <c r="G214" i="74"/>
  <c r="G213" i="74" s="1"/>
  <c r="S212" i="74"/>
  <c r="D150" i="76" s="1"/>
  <c r="S211" i="74"/>
  <c r="R210" i="74"/>
  <c r="R209" i="74" s="1"/>
  <c r="Q210" i="74"/>
  <c r="Q209" i="74" s="1"/>
  <c r="P210" i="74"/>
  <c r="P209" i="74" s="1"/>
  <c r="O210" i="74"/>
  <c r="O209" i="74" s="1"/>
  <c r="N210" i="74"/>
  <c r="N209" i="74" s="1"/>
  <c r="M210" i="74"/>
  <c r="M209" i="74" s="1"/>
  <c r="L210" i="74"/>
  <c r="L209" i="74" s="1"/>
  <c r="K210" i="74"/>
  <c r="K209" i="74" s="1"/>
  <c r="J210" i="74"/>
  <c r="J209" i="74" s="1"/>
  <c r="I210" i="74"/>
  <c r="I209" i="74" s="1"/>
  <c r="H210" i="74"/>
  <c r="H209" i="74" s="1"/>
  <c r="G210" i="74"/>
  <c r="G209" i="74" s="1"/>
  <c r="S198" i="74"/>
  <c r="R197" i="74"/>
  <c r="Q197" i="74"/>
  <c r="P197" i="74"/>
  <c r="O197" i="74"/>
  <c r="N197" i="74"/>
  <c r="M197" i="74"/>
  <c r="L197" i="74"/>
  <c r="K197" i="74"/>
  <c r="J197" i="74"/>
  <c r="I197" i="74"/>
  <c r="H197" i="74"/>
  <c r="G197" i="74"/>
  <c r="S196" i="74"/>
  <c r="R195" i="74"/>
  <c r="R194" i="74" s="1"/>
  <c r="Q195" i="74"/>
  <c r="Q194" i="74" s="1"/>
  <c r="P195" i="74"/>
  <c r="P194" i="74" s="1"/>
  <c r="O195" i="74"/>
  <c r="O194" i="74" s="1"/>
  <c r="N195" i="74"/>
  <c r="N194" i="74" s="1"/>
  <c r="M195" i="74"/>
  <c r="M194" i="74" s="1"/>
  <c r="L195" i="74"/>
  <c r="L194" i="74" s="1"/>
  <c r="K195" i="74"/>
  <c r="K194" i="74" s="1"/>
  <c r="J195" i="74"/>
  <c r="J194" i="74" s="1"/>
  <c r="I195" i="74"/>
  <c r="I194" i="74" s="1"/>
  <c r="H195" i="74"/>
  <c r="H194" i="74" s="1"/>
  <c r="G195" i="74"/>
  <c r="S189" i="74"/>
  <c r="R188" i="74"/>
  <c r="Q188" i="74"/>
  <c r="P188" i="74"/>
  <c r="O188" i="74"/>
  <c r="N188" i="74"/>
  <c r="M188" i="74"/>
  <c r="L188" i="74"/>
  <c r="K188" i="74"/>
  <c r="J188" i="74"/>
  <c r="I188" i="74"/>
  <c r="H188" i="74"/>
  <c r="G188" i="74"/>
  <c r="S187" i="74"/>
  <c r="R186" i="74"/>
  <c r="Q186" i="74"/>
  <c r="P186" i="74"/>
  <c r="O186" i="74"/>
  <c r="N186" i="74"/>
  <c r="M186" i="74"/>
  <c r="L186" i="74"/>
  <c r="K186" i="74"/>
  <c r="J186" i="74"/>
  <c r="I186" i="74"/>
  <c r="H186" i="74"/>
  <c r="G186" i="74"/>
  <c r="S184" i="74"/>
  <c r="R183" i="74"/>
  <c r="R182" i="74" s="1"/>
  <c r="Q183" i="74"/>
  <c r="Q182" i="74" s="1"/>
  <c r="P183" i="74"/>
  <c r="P182" i="74" s="1"/>
  <c r="O183" i="74"/>
  <c r="O182" i="74" s="1"/>
  <c r="N183" i="74"/>
  <c r="N182" i="74" s="1"/>
  <c r="M183" i="74"/>
  <c r="M182" i="74" s="1"/>
  <c r="L183" i="74"/>
  <c r="L182" i="74" s="1"/>
  <c r="K183" i="74"/>
  <c r="K182" i="74" s="1"/>
  <c r="J183" i="74"/>
  <c r="I183" i="74"/>
  <c r="I182" i="74" s="1"/>
  <c r="H183" i="74"/>
  <c r="H182" i="74" s="1"/>
  <c r="G183" i="74"/>
  <c r="G182" i="74" s="1"/>
  <c r="S181" i="74"/>
  <c r="R180" i="74"/>
  <c r="Q180" i="74"/>
  <c r="P180" i="74"/>
  <c r="O180" i="74"/>
  <c r="N180" i="74"/>
  <c r="M180" i="74"/>
  <c r="L180" i="74"/>
  <c r="K180" i="74"/>
  <c r="J180" i="74"/>
  <c r="I180" i="74"/>
  <c r="H180" i="74"/>
  <c r="G180" i="74"/>
  <c r="S179" i="74"/>
  <c r="R178" i="74"/>
  <c r="Q178" i="74"/>
  <c r="P178" i="74"/>
  <c r="O178" i="74"/>
  <c r="N178" i="74"/>
  <c r="M178" i="74"/>
  <c r="L178" i="74"/>
  <c r="K178" i="74"/>
  <c r="J178" i="74"/>
  <c r="I178" i="74"/>
  <c r="H178" i="74"/>
  <c r="G178" i="74"/>
  <c r="S175" i="74"/>
  <c r="S174" i="74"/>
  <c r="R173" i="74"/>
  <c r="R172" i="74" s="1"/>
  <c r="R171" i="74" s="1"/>
  <c r="R170" i="74" s="1"/>
  <c r="Q173" i="74"/>
  <c r="Q172" i="74" s="1"/>
  <c r="Q171" i="74" s="1"/>
  <c r="Q170" i="74" s="1"/>
  <c r="P173" i="74"/>
  <c r="P172" i="74" s="1"/>
  <c r="P171" i="74" s="1"/>
  <c r="P170" i="74" s="1"/>
  <c r="O173" i="74"/>
  <c r="O172" i="74" s="1"/>
  <c r="O171" i="74" s="1"/>
  <c r="O170" i="74" s="1"/>
  <c r="N173" i="74"/>
  <c r="N172" i="74" s="1"/>
  <c r="N171" i="74" s="1"/>
  <c r="N170" i="74" s="1"/>
  <c r="M173" i="74"/>
  <c r="M172" i="74" s="1"/>
  <c r="M171" i="74" s="1"/>
  <c r="M170" i="74" s="1"/>
  <c r="L173" i="74"/>
  <c r="L172" i="74" s="1"/>
  <c r="L171" i="74" s="1"/>
  <c r="L170" i="74" s="1"/>
  <c r="K173" i="74"/>
  <c r="K172" i="74" s="1"/>
  <c r="K171" i="74" s="1"/>
  <c r="K170" i="74" s="1"/>
  <c r="J173" i="74"/>
  <c r="J172" i="74" s="1"/>
  <c r="J171" i="74" s="1"/>
  <c r="J170" i="74" s="1"/>
  <c r="I173" i="74"/>
  <c r="I172" i="74" s="1"/>
  <c r="I171" i="74" s="1"/>
  <c r="I170" i="74" s="1"/>
  <c r="H173" i="74"/>
  <c r="H172" i="74" s="1"/>
  <c r="H171" i="74" s="1"/>
  <c r="H170" i="74" s="1"/>
  <c r="G173" i="74"/>
  <c r="G172" i="74" s="1"/>
  <c r="G171" i="74" s="1"/>
  <c r="G170" i="74" s="1"/>
  <c r="S168" i="74"/>
  <c r="R167" i="74"/>
  <c r="R166" i="74" s="1"/>
  <c r="Q167" i="74"/>
  <c r="Q166" i="74" s="1"/>
  <c r="P167" i="74"/>
  <c r="P166" i="74" s="1"/>
  <c r="O167" i="74"/>
  <c r="O166" i="74" s="1"/>
  <c r="N167" i="74"/>
  <c r="N166" i="74" s="1"/>
  <c r="M167" i="74"/>
  <c r="M166" i="74" s="1"/>
  <c r="L167" i="74"/>
  <c r="L166" i="74" s="1"/>
  <c r="K167" i="74"/>
  <c r="K166" i="74" s="1"/>
  <c r="J167" i="74"/>
  <c r="J166" i="74" s="1"/>
  <c r="I167" i="74"/>
  <c r="I166" i="74" s="1"/>
  <c r="H167" i="74"/>
  <c r="H166" i="74" s="1"/>
  <c r="G167" i="74"/>
  <c r="S160" i="74"/>
  <c r="S159" i="74"/>
  <c r="Q158" i="74"/>
  <c r="Q154" i="74" s="1"/>
  <c r="P158" i="74"/>
  <c r="P154" i="74" s="1"/>
  <c r="O158" i="74"/>
  <c r="M158" i="74"/>
  <c r="M154" i="74" s="1"/>
  <c r="L158" i="74"/>
  <c r="L154" i="74" s="1"/>
  <c r="K158" i="74"/>
  <c r="K154" i="74" s="1"/>
  <c r="H158" i="74"/>
  <c r="H154" i="74" s="1"/>
  <c r="S157" i="74"/>
  <c r="S156" i="74"/>
  <c r="S155" i="74"/>
  <c r="O154" i="74"/>
  <c r="S150" i="74"/>
  <c r="S914" i="74" s="1"/>
  <c r="R149" i="74"/>
  <c r="Q149" i="74"/>
  <c r="P149" i="74"/>
  <c r="O149" i="74"/>
  <c r="N149" i="74"/>
  <c r="M149" i="74"/>
  <c r="L149" i="74"/>
  <c r="K149" i="74"/>
  <c r="J149" i="74"/>
  <c r="I149" i="74"/>
  <c r="H149" i="74"/>
  <c r="S148" i="74"/>
  <c r="R147" i="74"/>
  <c r="R146" i="74" s="1"/>
  <c r="Q147" i="74"/>
  <c r="Q146" i="74" s="1"/>
  <c r="P147" i="74"/>
  <c r="P146" i="74" s="1"/>
  <c r="O147" i="74"/>
  <c r="O146" i="74" s="1"/>
  <c r="N147" i="74"/>
  <c r="N146" i="74" s="1"/>
  <c r="M147" i="74"/>
  <c r="M146" i="74" s="1"/>
  <c r="L147" i="74"/>
  <c r="L146" i="74" s="1"/>
  <c r="K147" i="74"/>
  <c r="K146" i="74" s="1"/>
  <c r="J147" i="74"/>
  <c r="J146" i="74" s="1"/>
  <c r="I147" i="74"/>
  <c r="H147" i="74"/>
  <c r="H146" i="74" s="1"/>
  <c r="H145" i="74" s="1"/>
  <c r="H144" i="74" s="1"/>
  <c r="G147" i="74"/>
  <c r="G146" i="74" s="1"/>
  <c r="S143" i="74"/>
  <c r="R142" i="74"/>
  <c r="R141" i="74" s="1"/>
  <c r="R140" i="74" s="1"/>
  <c r="Q142" i="74"/>
  <c r="Q141" i="74" s="1"/>
  <c r="Q140" i="74" s="1"/>
  <c r="P142" i="74"/>
  <c r="P141" i="74" s="1"/>
  <c r="P140" i="74" s="1"/>
  <c r="O142" i="74"/>
  <c r="O141" i="74" s="1"/>
  <c r="O140" i="74" s="1"/>
  <c r="N142" i="74"/>
  <c r="N141" i="74" s="1"/>
  <c r="N140" i="74" s="1"/>
  <c r="M142" i="74"/>
  <c r="M141" i="74" s="1"/>
  <c r="M140" i="74" s="1"/>
  <c r="L142" i="74"/>
  <c r="L141" i="74" s="1"/>
  <c r="L140" i="74" s="1"/>
  <c r="K142" i="74"/>
  <c r="K141" i="74" s="1"/>
  <c r="K140" i="74" s="1"/>
  <c r="J142" i="74"/>
  <c r="J141" i="74" s="1"/>
  <c r="J140" i="74" s="1"/>
  <c r="I142" i="74"/>
  <c r="I141" i="74" s="1"/>
  <c r="I140" i="74" s="1"/>
  <c r="H142" i="74"/>
  <c r="H141" i="74" s="1"/>
  <c r="G142" i="74"/>
  <c r="G141" i="74" s="1"/>
  <c r="G140" i="74" s="1"/>
  <c r="S134" i="74"/>
  <c r="S133" i="74"/>
  <c r="R132" i="74"/>
  <c r="Q132" i="74"/>
  <c r="P132" i="74"/>
  <c r="O132" i="74"/>
  <c r="N132" i="74"/>
  <c r="M132" i="74"/>
  <c r="L132" i="74"/>
  <c r="K132" i="74"/>
  <c r="J132" i="74"/>
  <c r="I132" i="74"/>
  <c r="H132" i="74"/>
  <c r="G132" i="74"/>
  <c r="S131" i="74"/>
  <c r="R130" i="74"/>
  <c r="R126" i="74" s="1"/>
  <c r="R122" i="74" s="1"/>
  <c r="Q130" i="74"/>
  <c r="Q126" i="74" s="1"/>
  <c r="Q122" i="74" s="1"/>
  <c r="P130" i="74"/>
  <c r="P126" i="74" s="1"/>
  <c r="P122" i="74" s="1"/>
  <c r="O130" i="74"/>
  <c r="N130" i="74"/>
  <c r="N126" i="74" s="1"/>
  <c r="N122" i="74" s="1"/>
  <c r="M130" i="74"/>
  <c r="M126" i="74" s="1"/>
  <c r="M122" i="74" s="1"/>
  <c r="L130" i="74"/>
  <c r="K130" i="74"/>
  <c r="J130" i="74"/>
  <c r="J126" i="74" s="1"/>
  <c r="J122" i="74" s="1"/>
  <c r="I130" i="74"/>
  <c r="I126" i="74" s="1"/>
  <c r="I122" i="74" s="1"/>
  <c r="H130" i="74"/>
  <c r="H126" i="74" s="1"/>
  <c r="H122" i="74" s="1"/>
  <c r="G130" i="74"/>
  <c r="S129" i="74"/>
  <c r="S128" i="74"/>
  <c r="S127" i="74"/>
  <c r="O126" i="74"/>
  <c r="L126" i="74"/>
  <c r="L122" i="74" s="1"/>
  <c r="K126" i="74"/>
  <c r="K122" i="74" s="1"/>
  <c r="G126" i="74"/>
  <c r="G122" i="74" s="1"/>
  <c r="S125" i="74"/>
  <c r="S124" i="74"/>
  <c r="S123" i="74"/>
  <c r="O122" i="74"/>
  <c r="S118" i="74"/>
  <c r="O117" i="74"/>
  <c r="O116" i="74" s="1"/>
  <c r="O115" i="74" s="1"/>
  <c r="R117" i="74"/>
  <c r="R116" i="74" s="1"/>
  <c r="R115" i="74" s="1"/>
  <c r="Q117" i="74"/>
  <c r="Q116" i="74" s="1"/>
  <c r="Q115" i="74" s="1"/>
  <c r="P117" i="74"/>
  <c r="P116" i="74" s="1"/>
  <c r="P115" i="74" s="1"/>
  <c r="N117" i="74"/>
  <c r="N116" i="74" s="1"/>
  <c r="N115" i="74" s="1"/>
  <c r="M117" i="74"/>
  <c r="M116" i="74" s="1"/>
  <c r="M115" i="74" s="1"/>
  <c r="L117" i="74"/>
  <c r="L116" i="74" s="1"/>
  <c r="L115" i="74" s="1"/>
  <c r="K117" i="74"/>
  <c r="K116" i="74" s="1"/>
  <c r="K115" i="74" s="1"/>
  <c r="J117" i="74"/>
  <c r="J116" i="74" s="1"/>
  <c r="J115" i="74" s="1"/>
  <c r="I117" i="74"/>
  <c r="I116" i="74" s="1"/>
  <c r="I115" i="74" s="1"/>
  <c r="H117" i="74"/>
  <c r="G117" i="74"/>
  <c r="G116" i="74" s="1"/>
  <c r="G115" i="74" s="1"/>
  <c r="S114" i="74"/>
  <c r="R113" i="74"/>
  <c r="Q113" i="74"/>
  <c r="P113" i="74"/>
  <c r="O113" i="74"/>
  <c r="N113" i="74"/>
  <c r="M113" i="74"/>
  <c r="L113" i="74"/>
  <c r="K113" i="74"/>
  <c r="J113" i="74"/>
  <c r="I113" i="74"/>
  <c r="H113" i="74"/>
  <c r="G113" i="74"/>
  <c r="R111" i="74"/>
  <c r="Q111" i="74"/>
  <c r="P111" i="74"/>
  <c r="O111" i="74"/>
  <c r="N111" i="74"/>
  <c r="M111" i="74"/>
  <c r="L111" i="74"/>
  <c r="K111" i="74"/>
  <c r="J111" i="74"/>
  <c r="I111" i="74"/>
  <c r="H111" i="74"/>
  <c r="S83" i="74"/>
  <c r="S81" i="74"/>
  <c r="S110" i="74"/>
  <c r="R109" i="74"/>
  <c r="R108" i="74" s="1"/>
  <c r="Q109" i="74"/>
  <c r="Q108" i="74" s="1"/>
  <c r="P109" i="74"/>
  <c r="P108" i="74" s="1"/>
  <c r="O109" i="74"/>
  <c r="O108" i="74" s="1"/>
  <c r="N109" i="74"/>
  <c r="N108" i="74" s="1"/>
  <c r="M109" i="74"/>
  <c r="L109" i="74"/>
  <c r="L108" i="74" s="1"/>
  <c r="K109" i="74"/>
  <c r="K108" i="74" s="1"/>
  <c r="J109" i="74"/>
  <c r="J108" i="74" s="1"/>
  <c r="I109" i="74"/>
  <c r="I108" i="74" s="1"/>
  <c r="H109" i="74"/>
  <c r="H108" i="74" s="1"/>
  <c r="G109" i="74"/>
  <c r="G108" i="74" s="1"/>
  <c r="S105" i="74"/>
  <c r="R104" i="74"/>
  <c r="Q104" i="74"/>
  <c r="P104" i="74"/>
  <c r="O104" i="74"/>
  <c r="N104" i="74"/>
  <c r="M104" i="74"/>
  <c r="L104" i="74"/>
  <c r="K104" i="74"/>
  <c r="J104" i="74"/>
  <c r="I104" i="74"/>
  <c r="H104" i="74"/>
  <c r="G104" i="74"/>
  <c r="S100" i="74"/>
  <c r="D111" i="76" s="1"/>
  <c r="D110" i="76" s="1"/>
  <c r="R99" i="74"/>
  <c r="Q99" i="74"/>
  <c r="P99" i="74"/>
  <c r="O99" i="74"/>
  <c r="N99" i="74"/>
  <c r="M99" i="74"/>
  <c r="L99" i="74"/>
  <c r="K99" i="74"/>
  <c r="J99" i="74"/>
  <c r="I99" i="74"/>
  <c r="H99" i="74"/>
  <c r="G99" i="74"/>
  <c r="S98" i="74"/>
  <c r="D109" i="76" s="1"/>
  <c r="D108" i="76" s="1"/>
  <c r="G97" i="74"/>
  <c r="R97" i="74"/>
  <c r="Q97" i="74"/>
  <c r="P97" i="74"/>
  <c r="O97" i="74"/>
  <c r="N97" i="74"/>
  <c r="M97" i="74"/>
  <c r="L97" i="74"/>
  <c r="K97" i="74"/>
  <c r="J97" i="74"/>
  <c r="I97" i="74"/>
  <c r="H97" i="74"/>
  <c r="S95" i="74"/>
  <c r="S93" i="74"/>
  <c r="S91" i="74"/>
  <c r="R90" i="74"/>
  <c r="Q90" i="74"/>
  <c r="P90" i="74"/>
  <c r="O90" i="74"/>
  <c r="N90" i="74"/>
  <c r="M90" i="74"/>
  <c r="L90" i="74"/>
  <c r="K90" i="74"/>
  <c r="J90" i="74"/>
  <c r="I90" i="74"/>
  <c r="H90" i="74"/>
  <c r="G90" i="74"/>
  <c r="S89" i="74"/>
  <c r="D100" i="76" s="1"/>
  <c r="D99" i="76" s="1"/>
  <c r="R88" i="74"/>
  <c r="Q88" i="74"/>
  <c r="P88" i="74"/>
  <c r="O88" i="74"/>
  <c r="N88" i="74"/>
  <c r="M88" i="74"/>
  <c r="L88" i="74"/>
  <c r="K88" i="74"/>
  <c r="J88" i="74"/>
  <c r="I88" i="74"/>
  <c r="H88" i="74"/>
  <c r="G88" i="74"/>
  <c r="S79" i="74"/>
  <c r="R78" i="74"/>
  <c r="Q78" i="74"/>
  <c r="P78" i="74"/>
  <c r="O78" i="74"/>
  <c r="N78" i="74"/>
  <c r="M78" i="74"/>
  <c r="L78" i="74"/>
  <c r="K78" i="74"/>
  <c r="J78" i="74"/>
  <c r="I78" i="74"/>
  <c r="H78" i="74"/>
  <c r="G78" i="74"/>
  <c r="S77" i="74"/>
  <c r="D84" i="76" s="1"/>
  <c r="S76" i="74"/>
  <c r="S75" i="74"/>
  <c r="R74" i="74"/>
  <c r="Q74" i="74"/>
  <c r="P74" i="74"/>
  <c r="O74" i="74"/>
  <c r="N74" i="74"/>
  <c r="L74" i="74"/>
  <c r="K74" i="74"/>
  <c r="J74" i="74"/>
  <c r="I74" i="74"/>
  <c r="H74" i="74"/>
  <c r="G74" i="74"/>
  <c r="S70" i="74"/>
  <c r="R69" i="74"/>
  <c r="R64" i="74" s="1"/>
  <c r="Q69" i="74"/>
  <c r="Q64" i="74" s="1"/>
  <c r="Q60" i="74" s="1"/>
  <c r="P69" i="74"/>
  <c r="P64" i="74" s="1"/>
  <c r="P60" i="74" s="1"/>
  <c r="O69" i="74"/>
  <c r="O64" i="74" s="1"/>
  <c r="O60" i="74" s="1"/>
  <c r="N69" i="74"/>
  <c r="N64" i="74" s="1"/>
  <c r="N60" i="74" s="1"/>
  <c r="M69" i="74"/>
  <c r="L69" i="74"/>
  <c r="L64" i="74" s="1"/>
  <c r="L60" i="74" s="1"/>
  <c r="K69" i="74"/>
  <c r="K64" i="74" s="1"/>
  <c r="K60" i="74" s="1"/>
  <c r="J69" i="74"/>
  <c r="J64" i="74" s="1"/>
  <c r="J60" i="74" s="1"/>
  <c r="I69" i="74"/>
  <c r="I64" i="74" s="1"/>
  <c r="I60" i="74" s="1"/>
  <c r="H69" i="74"/>
  <c r="H64" i="74" s="1"/>
  <c r="H60" i="74" s="1"/>
  <c r="G69" i="74"/>
  <c r="G64" i="74" s="1"/>
  <c r="G60" i="74" s="1"/>
  <c r="S63" i="74"/>
  <c r="S62" i="74"/>
  <c r="S61" i="74"/>
  <c r="R60" i="74"/>
  <c r="S59" i="74"/>
  <c r="R56" i="74"/>
  <c r="Q56" i="74"/>
  <c r="P56" i="74"/>
  <c r="N56" i="74"/>
  <c r="M56" i="74"/>
  <c r="L56" i="74"/>
  <c r="K56" i="74"/>
  <c r="J56" i="74"/>
  <c r="I56" i="74"/>
  <c r="G56" i="74"/>
  <c r="S52" i="74"/>
  <c r="S51" i="74"/>
  <c r="S50" i="74"/>
  <c r="R49" i="74"/>
  <c r="Q49" i="74"/>
  <c r="P49" i="74"/>
  <c r="O49" i="74"/>
  <c r="N49" i="74"/>
  <c r="M49" i="74"/>
  <c r="L49" i="74"/>
  <c r="K49" i="74"/>
  <c r="J49" i="74"/>
  <c r="I49" i="74"/>
  <c r="H49" i="74"/>
  <c r="G49" i="74"/>
  <c r="S48" i="74"/>
  <c r="R47" i="74"/>
  <c r="Q47" i="74"/>
  <c r="P47" i="74"/>
  <c r="O47" i="74"/>
  <c r="N47" i="74"/>
  <c r="M47" i="74"/>
  <c r="L47" i="74"/>
  <c r="K47" i="74"/>
  <c r="J47" i="74"/>
  <c r="I47" i="74"/>
  <c r="H47" i="74"/>
  <c r="G47" i="74"/>
  <c r="S45" i="74"/>
  <c r="R44" i="74"/>
  <c r="Q44" i="74"/>
  <c r="P44" i="74"/>
  <c r="O44" i="74"/>
  <c r="N44" i="74"/>
  <c r="M44" i="74"/>
  <c r="L44" i="74"/>
  <c r="K44" i="74"/>
  <c r="J44" i="74"/>
  <c r="I44" i="74"/>
  <c r="H44" i="74"/>
  <c r="G44" i="74"/>
  <c r="S43" i="74"/>
  <c r="R42" i="74"/>
  <c r="R41" i="74" s="1"/>
  <c r="Q42" i="74"/>
  <c r="Q41" i="74" s="1"/>
  <c r="P42" i="74"/>
  <c r="P41" i="74" s="1"/>
  <c r="O42" i="74"/>
  <c r="O41" i="74" s="1"/>
  <c r="N42" i="74"/>
  <c r="N41" i="74" s="1"/>
  <c r="M42" i="74"/>
  <c r="M41" i="74" s="1"/>
  <c r="L42" i="74"/>
  <c r="L41" i="74" s="1"/>
  <c r="K42" i="74"/>
  <c r="K41" i="74" s="1"/>
  <c r="J42" i="74"/>
  <c r="J41" i="74" s="1"/>
  <c r="I42" i="74"/>
  <c r="I41" i="74" s="1"/>
  <c r="H42" i="74"/>
  <c r="H41" i="74" s="1"/>
  <c r="G42" i="74"/>
  <c r="G41" i="74" s="1"/>
  <c r="G39" i="74"/>
  <c r="R39" i="74"/>
  <c r="Q39" i="74"/>
  <c r="P39" i="74"/>
  <c r="O39" i="74"/>
  <c r="N39" i="74"/>
  <c r="M39" i="74"/>
  <c r="L39" i="74"/>
  <c r="K39" i="74"/>
  <c r="J39" i="74"/>
  <c r="I39" i="74"/>
  <c r="H39" i="74"/>
  <c r="S38" i="74"/>
  <c r="S36" i="74"/>
  <c r="S35" i="74"/>
  <c r="G30" i="74"/>
  <c r="K30" i="74"/>
  <c r="S32" i="74"/>
  <c r="R30" i="74"/>
  <c r="Q30" i="74"/>
  <c r="P30" i="74"/>
  <c r="O30" i="74"/>
  <c r="N30" i="74"/>
  <c r="M30" i="74"/>
  <c r="L30" i="74"/>
  <c r="J30" i="74"/>
  <c r="I30" i="74"/>
  <c r="S20" i="74"/>
  <c r="D56" i="76" s="1"/>
  <c r="S19" i="74"/>
  <c r="R18" i="74"/>
  <c r="R17" i="74" s="1"/>
  <c r="R16" i="74" s="1"/>
  <c r="R15" i="74" s="1"/>
  <c r="R14" i="74" s="1"/>
  <c r="Q18" i="74"/>
  <c r="Q17" i="74" s="1"/>
  <c r="Q16" i="74" s="1"/>
  <c r="Q15" i="74" s="1"/>
  <c r="Q14" i="74" s="1"/>
  <c r="P18" i="74"/>
  <c r="P17" i="74" s="1"/>
  <c r="P16" i="74" s="1"/>
  <c r="P15" i="74" s="1"/>
  <c r="P14" i="74" s="1"/>
  <c r="O18" i="74"/>
  <c r="O17" i="74" s="1"/>
  <c r="O16" i="74" s="1"/>
  <c r="O15" i="74" s="1"/>
  <c r="O14" i="74" s="1"/>
  <c r="N18" i="74"/>
  <c r="N17" i="74" s="1"/>
  <c r="N16" i="74" s="1"/>
  <c r="N15" i="74" s="1"/>
  <c r="N14" i="74" s="1"/>
  <c r="M18" i="74"/>
  <c r="M17" i="74" s="1"/>
  <c r="M16" i="74" s="1"/>
  <c r="M15" i="74" s="1"/>
  <c r="M14" i="74" s="1"/>
  <c r="L18" i="74"/>
  <c r="L17" i="74" s="1"/>
  <c r="L16" i="74" s="1"/>
  <c r="L15" i="74" s="1"/>
  <c r="L14" i="74" s="1"/>
  <c r="K18" i="74"/>
  <c r="K17" i="74" s="1"/>
  <c r="K16" i="74" s="1"/>
  <c r="K15" i="74" s="1"/>
  <c r="K14" i="74" s="1"/>
  <c r="J18" i="74"/>
  <c r="I18" i="74"/>
  <c r="I17" i="74" s="1"/>
  <c r="I16" i="74" s="1"/>
  <c r="I15" i="74" s="1"/>
  <c r="I14" i="74" s="1"/>
  <c r="H18" i="74"/>
  <c r="H17" i="74" s="1"/>
  <c r="H16" i="74" s="1"/>
  <c r="H15" i="74" s="1"/>
  <c r="H14" i="74" s="1"/>
  <c r="G18" i="74"/>
  <c r="G17" i="74" s="1"/>
  <c r="G16" i="74" s="1"/>
  <c r="G15" i="74" s="1"/>
  <c r="G14" i="74" s="1"/>
  <c r="S40" i="74"/>
  <c r="S112" i="74"/>
  <c r="G111" i="74"/>
  <c r="O56" i="74"/>
  <c r="S25" i="74"/>
  <c r="S33" i="74"/>
  <c r="S58" i="74"/>
  <c r="G149" i="74"/>
  <c r="O332" i="74"/>
  <c r="O329" i="74" s="1"/>
  <c r="O328" i="74" s="1"/>
  <c r="P382" i="74"/>
  <c r="P381" i="74" s="1"/>
  <c r="P380" i="74" s="1"/>
  <c r="S457" i="74"/>
  <c r="S448" i="74"/>
  <c r="S455" i="74"/>
  <c r="S583" i="74"/>
  <c r="G669" i="74"/>
  <c r="G668" i="74" s="1"/>
  <c r="G760" i="74"/>
  <c r="G758" i="74" s="1"/>
  <c r="S779" i="74"/>
  <c r="I560" i="74" l="1"/>
  <c r="I559" i="74" s="1"/>
  <c r="M560" i="74"/>
  <c r="M559" i="74" s="1"/>
  <c r="Q560" i="74"/>
  <c r="Q559" i="74" s="1"/>
  <c r="G560" i="74"/>
  <c r="G559" i="74" s="1"/>
  <c r="K560" i="74"/>
  <c r="K559" i="74" s="1"/>
  <c r="O560" i="74"/>
  <c r="O559" i="74" s="1"/>
  <c r="H559" i="74"/>
  <c r="L559" i="74"/>
  <c r="P559" i="74"/>
  <c r="H56" i="74"/>
  <c r="S56" i="74" s="1"/>
  <c r="D83" i="76" s="1"/>
  <c r="N559" i="74"/>
  <c r="R559" i="74"/>
  <c r="J222" i="74"/>
  <c r="N222" i="74"/>
  <c r="N221" i="74" s="1"/>
  <c r="K222" i="74"/>
  <c r="K221" i="74" s="1"/>
  <c r="O222" i="74"/>
  <c r="O221" i="74" s="1"/>
  <c r="I222" i="74"/>
  <c r="I221" i="74" s="1"/>
  <c r="M222" i="74"/>
  <c r="M221" i="74" s="1"/>
  <c r="Q222" i="74"/>
  <c r="Q221" i="74" s="1"/>
  <c r="G222" i="74"/>
  <c r="G221" i="74" s="1"/>
  <c r="H222" i="74"/>
  <c r="H221" i="74" s="1"/>
  <c r="L222" i="74"/>
  <c r="L221" i="74" s="1"/>
  <c r="P222" i="74"/>
  <c r="P221" i="74" s="1"/>
  <c r="L145" i="74"/>
  <c r="L144" i="74" s="1"/>
  <c r="M46" i="74"/>
  <c r="M60" i="74"/>
  <c r="S60" i="74" s="1"/>
  <c r="M64" i="74"/>
  <c r="S64" i="74" s="1"/>
  <c r="D94" i="76" s="1"/>
  <c r="D93" i="76" s="1"/>
  <c r="J602" i="74"/>
  <c r="J593" i="74" s="1"/>
  <c r="N602" i="74"/>
  <c r="N593" i="74" s="1"/>
  <c r="R602" i="74"/>
  <c r="R593" i="74" s="1"/>
  <c r="M602" i="74"/>
  <c r="M593" i="74" s="1"/>
  <c r="Q602" i="74"/>
  <c r="J805" i="74"/>
  <c r="N805" i="74"/>
  <c r="R805" i="74"/>
  <c r="G805" i="74"/>
  <c r="K805" i="74"/>
  <c r="O805" i="74"/>
  <c r="H805" i="74"/>
  <c r="L805" i="74"/>
  <c r="P805" i="74"/>
  <c r="I805" i="74"/>
  <c r="M805" i="74"/>
  <c r="Q805" i="74"/>
  <c r="L602" i="74"/>
  <c r="L593" i="74" s="1"/>
  <c r="P602" i="74"/>
  <c r="P593" i="74" s="1"/>
  <c r="G602" i="74"/>
  <c r="G593" i="74" s="1"/>
  <c r="K602" i="74"/>
  <c r="K593" i="74" s="1"/>
  <c r="O602" i="74"/>
  <c r="O593" i="74" s="1"/>
  <c r="S774" i="74"/>
  <c r="U2" i="74"/>
  <c r="O145" i="74"/>
  <c r="O144" i="74" s="1"/>
  <c r="G23" i="75"/>
  <c r="H30" i="74"/>
  <c r="H29" i="74" s="1"/>
  <c r="D379" i="76"/>
  <c r="D378" i="76" s="1"/>
  <c r="D305" i="76"/>
  <c r="D462" i="76"/>
  <c r="D353" i="76"/>
  <c r="D352" i="76" s="1"/>
  <c r="D92" i="76"/>
  <c r="D91" i="76" s="1"/>
  <c r="D18" i="76"/>
  <c r="D425" i="76"/>
  <c r="D357" i="76"/>
  <c r="D480" i="76"/>
  <c r="D479" i="76" s="1"/>
  <c r="D220" i="76"/>
  <c r="D219" i="76" s="1"/>
  <c r="D247" i="76"/>
  <c r="D246" i="76" s="1"/>
  <c r="D275" i="76"/>
  <c r="D161" i="76"/>
  <c r="D160" i="76" s="1"/>
  <c r="D183" i="76"/>
  <c r="D182" i="76" s="1"/>
  <c r="D49" i="76"/>
  <c r="D79" i="76"/>
  <c r="D78" i="76" s="1"/>
  <c r="D73" i="76"/>
  <c r="D139" i="76"/>
  <c r="D138" i="76" s="1"/>
  <c r="D324" i="76"/>
  <c r="D323" i="76" s="1"/>
  <c r="D294" i="76"/>
  <c r="D293" i="76" s="1"/>
  <c r="D199" i="76"/>
  <c r="D70" i="76"/>
  <c r="D69" i="76" s="1"/>
  <c r="D89" i="76"/>
  <c r="D104" i="76"/>
  <c r="D103" i="76" s="1"/>
  <c r="D41" i="76"/>
  <c r="D58" i="76"/>
  <c r="D153" i="76"/>
  <c r="D163" i="76"/>
  <c r="D162" i="76" s="1"/>
  <c r="D196" i="76"/>
  <c r="D195" i="76" s="1"/>
  <c r="D194" i="76"/>
  <c r="D193" i="76" s="1"/>
  <c r="D372" i="76"/>
  <c r="D371" i="76" s="1"/>
  <c r="D346" i="76"/>
  <c r="D356" i="76"/>
  <c r="D540" i="76"/>
  <c r="D519" i="76"/>
  <c r="D413" i="76"/>
  <c r="D412" i="76" s="1"/>
  <c r="D421" i="76"/>
  <c r="D420" i="76" s="1"/>
  <c r="D326" i="76"/>
  <c r="D325" i="76" s="1"/>
  <c r="D440" i="76"/>
  <c r="D439" i="76" s="1"/>
  <c r="D438" i="76" s="1"/>
  <c r="D437" i="76" s="1"/>
  <c r="D55" i="76"/>
  <c r="D54" i="76" s="1"/>
  <c r="D30" i="76"/>
  <c r="G55" i="74"/>
  <c r="D20" i="76"/>
  <c r="D43" i="76"/>
  <c r="D76" i="76"/>
  <c r="D417" i="76"/>
  <c r="D416" i="76" s="1"/>
  <c r="D173" i="76"/>
  <c r="D172" i="76" s="1"/>
  <c r="D134" i="76"/>
  <c r="D133" i="76" s="1"/>
  <c r="D200" i="76"/>
  <c r="D340" i="76"/>
  <c r="D388" i="76"/>
  <c r="D387" i="76" s="1"/>
  <c r="D393" i="76"/>
  <c r="D249" i="76"/>
  <c r="D248" i="76" s="1"/>
  <c r="D546" i="76"/>
  <c r="D273" i="76"/>
  <c r="D476" i="76"/>
  <c r="D526" i="76"/>
  <c r="D525" i="76" s="1"/>
  <c r="H760" i="74"/>
  <c r="S760" i="74" s="1"/>
  <c r="D514" i="76"/>
  <c r="D513" i="76" s="1"/>
  <c r="D32" i="76"/>
  <c r="D39" i="76"/>
  <c r="D169" i="76"/>
  <c r="D168" i="76" s="1"/>
  <c r="D136" i="76"/>
  <c r="D135" i="76" s="1"/>
  <c r="D296" i="76"/>
  <c r="D375" i="76"/>
  <c r="D348" i="76"/>
  <c r="D370" i="76"/>
  <c r="D369" i="76" s="1"/>
  <c r="D320" i="76"/>
  <c r="D319" i="76" s="1"/>
  <c r="D495" i="76"/>
  <c r="D494" i="76" s="1"/>
  <c r="D366" i="76"/>
  <c r="D280" i="76"/>
  <c r="G16" i="81"/>
  <c r="M145" i="74"/>
  <c r="M144" i="74" s="1"/>
  <c r="P145" i="74"/>
  <c r="P144" i="74" s="1"/>
  <c r="H193" i="74"/>
  <c r="H192" i="74" s="1"/>
  <c r="H191" i="74" s="1"/>
  <c r="H190" i="74" s="1"/>
  <c r="L193" i="74"/>
  <c r="L192" i="74" s="1"/>
  <c r="L191" i="74" s="1"/>
  <c r="L190" i="74" s="1"/>
  <c r="P193" i="74"/>
  <c r="P192" i="74" s="1"/>
  <c r="P191" i="74" s="1"/>
  <c r="P190" i="74" s="1"/>
  <c r="Q145" i="74"/>
  <c r="Q144" i="74" s="1"/>
  <c r="K193" i="74"/>
  <c r="K192" i="74" s="1"/>
  <c r="K191" i="74" s="1"/>
  <c r="K190" i="74" s="1"/>
  <c r="O193" i="74"/>
  <c r="O192" i="74" s="1"/>
  <c r="O191" i="74" s="1"/>
  <c r="O190" i="74" s="1"/>
  <c r="I193" i="74"/>
  <c r="I192" i="74" s="1"/>
  <c r="I191" i="74" s="1"/>
  <c r="I190" i="74" s="1"/>
  <c r="M193" i="74"/>
  <c r="M192" i="74" s="1"/>
  <c r="M191" i="74" s="1"/>
  <c r="M190" i="74" s="1"/>
  <c r="Q193" i="74"/>
  <c r="Q192" i="74" s="1"/>
  <c r="Q191" i="74" s="1"/>
  <c r="Q190" i="74" s="1"/>
  <c r="J193" i="74"/>
  <c r="J192" i="74" s="1"/>
  <c r="J191" i="74" s="1"/>
  <c r="J190" i="74" s="1"/>
  <c r="N193" i="74"/>
  <c r="N192" i="74" s="1"/>
  <c r="N191" i="74" s="1"/>
  <c r="N190" i="74" s="1"/>
  <c r="R193" i="74"/>
  <c r="R192" i="74" s="1"/>
  <c r="R191" i="74" s="1"/>
  <c r="R190" i="74" s="1"/>
  <c r="E19" i="76"/>
  <c r="E24" i="76"/>
  <c r="E40" i="76"/>
  <c r="E47" i="76"/>
  <c r="E51" i="76"/>
  <c r="E81" i="76"/>
  <c r="E87" i="76"/>
  <c r="E148" i="76"/>
  <c r="E147" i="76" s="1"/>
  <c r="E295" i="76"/>
  <c r="E303" i="76"/>
  <c r="E332" i="76"/>
  <c r="E337" i="76"/>
  <c r="E345" i="76"/>
  <c r="E349" i="76"/>
  <c r="E201" i="76"/>
  <c r="E197" i="76" s="1"/>
  <c r="S761" i="74"/>
  <c r="R145" i="74"/>
  <c r="R144" i="74" s="1"/>
  <c r="F54" i="76"/>
  <c r="F300" i="76"/>
  <c r="F349" i="76"/>
  <c r="F459" i="76"/>
  <c r="H295" i="74"/>
  <c r="F201" i="76"/>
  <c r="F197" i="76" s="1"/>
  <c r="F295" i="76"/>
  <c r="J376" i="74"/>
  <c r="N376" i="74"/>
  <c r="G60" i="75"/>
  <c r="E473" i="76"/>
  <c r="E468" i="76" s="1"/>
  <c r="E519" i="76"/>
  <c r="E554" i="76"/>
  <c r="E535" i="76" s="1"/>
  <c r="G773" i="74"/>
  <c r="S773" i="74" s="1"/>
  <c r="H272" i="74"/>
  <c r="H271" i="74" s="1"/>
  <c r="H270" i="74" s="1"/>
  <c r="H269" i="74" s="1"/>
  <c r="H314" i="74"/>
  <c r="H313" i="74" s="1"/>
  <c r="H860" i="74"/>
  <c r="S860" i="74" s="1"/>
  <c r="D456" i="76" s="1"/>
  <c r="D455" i="76" s="1"/>
  <c r="R376" i="74"/>
  <c r="S710" i="74"/>
  <c r="B11" i="88"/>
  <c r="J879" i="74"/>
  <c r="J878" i="74" s="1"/>
  <c r="N879" i="74"/>
  <c r="N878" i="74" s="1"/>
  <c r="H32" i="75"/>
  <c r="G37" i="75"/>
  <c r="H60" i="75"/>
  <c r="F15" i="76"/>
  <c r="F19" i="76"/>
  <c r="F24" i="76"/>
  <c r="F36" i="76"/>
  <c r="F40" i="76"/>
  <c r="F47" i="76"/>
  <c r="F51" i="76"/>
  <c r="F75" i="76"/>
  <c r="F148" i="76"/>
  <c r="F147" i="76" s="1"/>
  <c r="E300" i="76"/>
  <c r="F332" i="76"/>
  <c r="F337" i="76"/>
  <c r="F341" i="76"/>
  <c r="F345" i="76"/>
  <c r="F354" i="76"/>
  <c r="F362" i="76"/>
  <c r="D66" i="76"/>
  <c r="D65" i="76" s="1"/>
  <c r="S895" i="74"/>
  <c r="D558" i="76" s="1"/>
  <c r="D557" i="76" s="1"/>
  <c r="H50" i="75"/>
  <c r="E15" i="76"/>
  <c r="E28" i="76"/>
  <c r="E36" i="76"/>
  <c r="E54" i="76"/>
  <c r="E72" i="76"/>
  <c r="E75" i="76"/>
  <c r="E192" i="76"/>
  <c r="F303" i="76"/>
  <c r="E318" i="76"/>
  <c r="E341" i="76"/>
  <c r="E354" i="76"/>
  <c r="E386" i="76"/>
  <c r="F473" i="76"/>
  <c r="F468" i="76" s="1"/>
  <c r="F519" i="76"/>
  <c r="H758" i="74"/>
  <c r="H23" i="75"/>
  <c r="F81" i="76"/>
  <c r="F87" i="76"/>
  <c r="P467" i="74"/>
  <c r="S508" i="74"/>
  <c r="P721" i="74"/>
  <c r="P720" i="74" s="1"/>
  <c r="P716" i="74" s="1"/>
  <c r="P715" i="74" s="1"/>
  <c r="P714" i="74" s="1"/>
  <c r="P713" i="74" s="1"/>
  <c r="P712" i="74" s="1"/>
  <c r="R729" i="74"/>
  <c r="R728" i="74" s="1"/>
  <c r="R727" i="74" s="1"/>
  <c r="H893" i="74"/>
  <c r="H892" i="74" s="1"/>
  <c r="H891" i="74" s="1"/>
  <c r="H890" i="74" s="1"/>
  <c r="H889" i="74" s="1"/>
  <c r="O507" i="74"/>
  <c r="S507" i="74" s="1"/>
  <c r="G39" i="81"/>
  <c r="H46" i="74"/>
  <c r="P46" i="74"/>
  <c r="O185" i="74"/>
  <c r="O177" i="74" s="1"/>
  <c r="O176" i="74" s="1"/>
  <c r="O169" i="74" s="1"/>
  <c r="D149" i="76"/>
  <c r="D148" i="76" s="1"/>
  <c r="G303" i="74"/>
  <c r="G302" i="74" s="1"/>
  <c r="K303" i="74"/>
  <c r="K302" i="74" s="1"/>
  <c r="P360" i="74"/>
  <c r="P359" i="74" s="1"/>
  <c r="P358" i="74" s="1"/>
  <c r="G433" i="74"/>
  <c r="I729" i="74"/>
  <c r="I728" i="74" s="1"/>
  <c r="I727" i="74" s="1"/>
  <c r="I879" i="74"/>
  <c r="I878" i="74" s="1"/>
  <c r="K893" i="74"/>
  <c r="K892" i="74" s="1"/>
  <c r="K891" i="74" s="1"/>
  <c r="K890" i="74" s="1"/>
  <c r="K889" i="74" s="1"/>
  <c r="F22" i="81"/>
  <c r="F21" i="81" s="1"/>
  <c r="G38" i="81"/>
  <c r="G51" i="81"/>
  <c r="I376" i="74"/>
  <c r="O295" i="74"/>
  <c r="F60" i="76"/>
  <c r="N276" i="74"/>
  <c r="N275" i="74" s="1"/>
  <c r="Q352" i="74"/>
  <c r="Q351" i="74" s="1"/>
  <c r="Q346" i="74" s="1"/>
  <c r="O553" i="74"/>
  <c r="K553" i="74"/>
  <c r="O29" i="74"/>
  <c r="L29" i="74"/>
  <c r="N29" i="74"/>
  <c r="R29" i="74"/>
  <c r="G46" i="74"/>
  <c r="Q55" i="74"/>
  <c r="P667" i="74"/>
  <c r="Q741" i="74"/>
  <c r="O757" i="74"/>
  <c r="J795" i="74"/>
  <c r="N795" i="74"/>
  <c r="R795" i="74"/>
  <c r="P795" i="74"/>
  <c r="P276" i="74"/>
  <c r="P275" i="74" s="1"/>
  <c r="I295" i="74"/>
  <c r="K352" i="74"/>
  <c r="K351" i="74" s="1"/>
  <c r="K346" i="74" s="1"/>
  <c r="M391" i="74"/>
  <c r="M385" i="74" s="1"/>
  <c r="M379" i="74" s="1"/>
  <c r="L375" i="74"/>
  <c r="L374" i="74" s="1"/>
  <c r="J514" i="74"/>
  <c r="J513" i="74" s="1"/>
  <c r="J512" i="74" s="1"/>
  <c r="M721" i="74"/>
  <c r="M720" i="74" s="1"/>
  <c r="M716" i="74" s="1"/>
  <c r="M715" i="74" s="1"/>
  <c r="M714" i="74" s="1"/>
  <c r="M713" i="74" s="1"/>
  <c r="M712" i="74" s="1"/>
  <c r="S732" i="74"/>
  <c r="H490" i="74"/>
  <c r="L295" i="74"/>
  <c r="N433" i="74"/>
  <c r="S831" i="74"/>
  <c r="Q121" i="74"/>
  <c r="L208" i="74"/>
  <c r="L207" i="74" s="1"/>
  <c r="L286" i="74"/>
  <c r="Q295" i="74"/>
  <c r="J553" i="74"/>
  <c r="J542" i="74" s="1"/>
  <c r="N553" i="74"/>
  <c r="J667" i="74"/>
  <c r="J657" i="74" s="1"/>
  <c r="J656" i="74" s="1"/>
  <c r="N667" i="74"/>
  <c r="R667" i="74"/>
  <c r="K869" i="74"/>
  <c r="K868" i="74" s="1"/>
  <c r="K859" i="74" s="1"/>
  <c r="K858" i="74" s="1"/>
  <c r="K857" i="74" s="1"/>
  <c r="O869" i="74"/>
  <c r="O868" i="74" s="1"/>
  <c r="O859" i="74" s="1"/>
  <c r="O858" i="74" s="1"/>
  <c r="O857" i="74" s="1"/>
  <c r="P704" i="74"/>
  <c r="P703" i="74" s="1"/>
  <c r="P702" i="74" s="1"/>
  <c r="P690" i="74" s="1"/>
  <c r="H704" i="74"/>
  <c r="H703" i="74" s="1"/>
  <c r="H702" i="74" s="1"/>
  <c r="I685" i="74"/>
  <c r="I684" i="74" s="1"/>
  <c r="I683" i="74" s="1"/>
  <c r="I676" i="74" s="1"/>
  <c r="H667" i="74"/>
  <c r="H795" i="74"/>
  <c r="L795" i="74"/>
  <c r="H87" i="74"/>
  <c r="N336" i="74"/>
  <c r="N335" i="74" s="1"/>
  <c r="N334" i="74" s="1"/>
  <c r="P375" i="74"/>
  <c r="P374" i="74" s="1"/>
  <c r="H375" i="74"/>
  <c r="H374" i="74" s="1"/>
  <c r="S738" i="74"/>
  <c r="J208" i="74"/>
  <c r="J207" i="74" s="1"/>
  <c r="N869" i="74"/>
  <c r="N868" i="74" s="1"/>
  <c r="N859" i="74" s="1"/>
  <c r="N858" i="74" s="1"/>
  <c r="N857" i="74" s="1"/>
  <c r="R869" i="74"/>
  <c r="R868" i="74" s="1"/>
  <c r="R859" i="74" s="1"/>
  <c r="R858" i="74" s="1"/>
  <c r="R857" i="74" s="1"/>
  <c r="O55" i="74"/>
  <c r="J121" i="74"/>
  <c r="J46" i="74"/>
  <c r="N46" i="74"/>
  <c r="R46" i="74"/>
  <c r="K55" i="74"/>
  <c r="R121" i="74"/>
  <c r="J153" i="74"/>
  <c r="J152" i="74" s="1"/>
  <c r="J151" i="74" s="1"/>
  <c r="N153" i="74"/>
  <c r="N152" i="74" s="1"/>
  <c r="N151" i="74" s="1"/>
  <c r="R153" i="74"/>
  <c r="R152" i="74" s="1"/>
  <c r="R151" i="74" s="1"/>
  <c r="H286" i="74"/>
  <c r="P286" i="74"/>
  <c r="R295" i="74"/>
  <c r="I303" i="74"/>
  <c r="I302" i="74" s="1"/>
  <c r="M303" i="74"/>
  <c r="M302" i="74" s="1"/>
  <c r="Q303" i="74"/>
  <c r="Q302" i="74" s="1"/>
  <c r="J314" i="74"/>
  <c r="J313" i="74" s="1"/>
  <c r="N314" i="74"/>
  <c r="N313" i="74" s="1"/>
  <c r="R314" i="74"/>
  <c r="R313" i="74" s="1"/>
  <c r="R324" i="74"/>
  <c r="R323" i="74" s="1"/>
  <c r="K336" i="74"/>
  <c r="K335" i="74" s="1"/>
  <c r="K334" i="74" s="1"/>
  <c r="P352" i="74"/>
  <c r="P351" i="74" s="1"/>
  <c r="P346" i="74" s="1"/>
  <c r="J360" i="74"/>
  <c r="J359" i="74" s="1"/>
  <c r="N360" i="74"/>
  <c r="N359" i="74" s="1"/>
  <c r="N358" i="74" s="1"/>
  <c r="R360" i="74"/>
  <c r="R359" i="74" s="1"/>
  <c r="R358" i="74" s="1"/>
  <c r="J391" i="74"/>
  <c r="N391" i="74"/>
  <c r="N385" i="74" s="1"/>
  <c r="R391" i="74"/>
  <c r="R385" i="74" s="1"/>
  <c r="R379" i="74" s="1"/>
  <c r="I433" i="74"/>
  <c r="M433" i="74"/>
  <c r="Q433" i="74"/>
  <c r="J467" i="74"/>
  <c r="N467" i="74"/>
  <c r="R467" i="74"/>
  <c r="N514" i="74"/>
  <c r="N513" i="74" s="1"/>
  <c r="N512" i="74" s="1"/>
  <c r="R514" i="74"/>
  <c r="R513" i="74" s="1"/>
  <c r="R512" i="74" s="1"/>
  <c r="G50" i="75"/>
  <c r="G32" i="75"/>
  <c r="H37" i="75"/>
  <c r="G704" i="74"/>
  <c r="G703" i="74" s="1"/>
  <c r="G702" i="74" s="1"/>
  <c r="H685" i="74"/>
  <c r="H684" i="74" s="1"/>
  <c r="H683" i="74" s="1"/>
  <c r="J433" i="74"/>
  <c r="R433" i="74"/>
  <c r="O467" i="74"/>
  <c r="G721" i="74"/>
  <c r="G720" i="74" s="1"/>
  <c r="G716" i="74" s="1"/>
  <c r="M729" i="74"/>
  <c r="M728" i="74" s="1"/>
  <c r="M727" i="74" s="1"/>
  <c r="I741" i="74"/>
  <c r="M741" i="74"/>
  <c r="S746" i="74"/>
  <c r="D436" i="76" s="1"/>
  <c r="D435" i="76" s="1"/>
  <c r="D434" i="76" s="1"/>
  <c r="O704" i="74"/>
  <c r="O703" i="74" s="1"/>
  <c r="O702" i="74" s="1"/>
  <c r="O690" i="74" s="1"/>
  <c r="K46" i="74"/>
  <c r="O46" i="74"/>
  <c r="L55" i="74"/>
  <c r="O87" i="74"/>
  <c r="J185" i="74"/>
  <c r="N185" i="74"/>
  <c r="N177" i="74" s="1"/>
  <c r="N176" i="74" s="1"/>
  <c r="N169" i="74" s="1"/>
  <c r="R185" i="74"/>
  <c r="R177" i="74" s="1"/>
  <c r="R176" i="74" s="1"/>
  <c r="R169" i="74" s="1"/>
  <c r="J276" i="74"/>
  <c r="J275" i="74" s="1"/>
  <c r="R276" i="74"/>
  <c r="R275" i="74" s="1"/>
  <c r="J303" i="74"/>
  <c r="J302" i="74" s="1"/>
  <c r="N303" i="74"/>
  <c r="N302" i="74" s="1"/>
  <c r="R303" i="74"/>
  <c r="R302" i="74" s="1"/>
  <c r="I352" i="74"/>
  <c r="I351" i="74" s="1"/>
  <c r="K360" i="74"/>
  <c r="K359" i="74" s="1"/>
  <c r="K358" i="74" s="1"/>
  <c r="O360" i="74"/>
  <c r="O359" i="74" s="1"/>
  <c r="O358" i="74" s="1"/>
  <c r="G514" i="74"/>
  <c r="G513" i="74" s="1"/>
  <c r="K514" i="74"/>
  <c r="K513" i="74" s="1"/>
  <c r="K512" i="74" s="1"/>
  <c r="O514" i="74"/>
  <c r="O513" i="74" s="1"/>
  <c r="O512" i="74" s="1"/>
  <c r="G553" i="74"/>
  <c r="K721" i="74"/>
  <c r="K720" i="74" s="1"/>
  <c r="K716" i="74" s="1"/>
  <c r="K715" i="74" s="1"/>
  <c r="K714" i="74" s="1"/>
  <c r="K713" i="74" s="1"/>
  <c r="K712" i="74" s="1"/>
  <c r="O721" i="74"/>
  <c r="O720" i="74" s="1"/>
  <c r="O716" i="74" s="1"/>
  <c r="O715" i="74" s="1"/>
  <c r="O714" i="74" s="1"/>
  <c r="O713" i="74" s="1"/>
  <c r="O712" i="74" s="1"/>
  <c r="Q729" i="74"/>
  <c r="Q728" i="74" s="1"/>
  <c r="Q727" i="74" s="1"/>
  <c r="K704" i="74"/>
  <c r="K703" i="74" s="1"/>
  <c r="K702" i="74" s="1"/>
  <c r="K690" i="74" s="1"/>
  <c r="S47" i="74"/>
  <c r="D22" i="76" s="1"/>
  <c r="L46" i="74"/>
  <c r="I55" i="74"/>
  <c r="I73" i="74"/>
  <c r="M73" i="74"/>
  <c r="Q73" i="74"/>
  <c r="N121" i="74"/>
  <c r="G153" i="74"/>
  <c r="K153" i="74"/>
  <c r="K152" i="74" s="1"/>
  <c r="K151" i="74" s="1"/>
  <c r="O153" i="74"/>
  <c r="O152" i="74" s="1"/>
  <c r="O151" i="74" s="1"/>
  <c r="G185" i="74"/>
  <c r="G177" i="74" s="1"/>
  <c r="K185" i="74"/>
  <c r="K177" i="74" s="1"/>
  <c r="K176" i="74" s="1"/>
  <c r="K169" i="74" s="1"/>
  <c r="G276" i="74"/>
  <c r="G275" i="74" s="1"/>
  <c r="O276" i="74"/>
  <c r="O275" i="74" s="1"/>
  <c r="I286" i="74"/>
  <c r="M286" i="74"/>
  <c r="Q286" i="74"/>
  <c r="N295" i="74"/>
  <c r="O303" i="74"/>
  <c r="O302" i="74" s="1"/>
  <c r="P314" i="74"/>
  <c r="P313" i="74" s="1"/>
  <c r="I336" i="74"/>
  <c r="I335" i="74" s="1"/>
  <c r="I334" i="74" s="1"/>
  <c r="M336" i="74"/>
  <c r="M335" i="74" s="1"/>
  <c r="M334" i="74" s="1"/>
  <c r="Q336" i="74"/>
  <c r="Q335" i="74" s="1"/>
  <c r="Q334" i="74" s="1"/>
  <c r="J352" i="74"/>
  <c r="J351" i="74" s="1"/>
  <c r="J346" i="74" s="1"/>
  <c r="N352" i="74"/>
  <c r="N351" i="74" s="1"/>
  <c r="N346" i="74" s="1"/>
  <c r="R352" i="74"/>
  <c r="R351" i="74" s="1"/>
  <c r="R346" i="74" s="1"/>
  <c r="H360" i="74"/>
  <c r="H359" i="74" s="1"/>
  <c r="H358" i="74" s="1"/>
  <c r="K433" i="74"/>
  <c r="L467" i="74"/>
  <c r="H514" i="74"/>
  <c r="H513" i="74" s="1"/>
  <c r="H512" i="74" s="1"/>
  <c r="L514" i="74"/>
  <c r="L513" i="74" s="1"/>
  <c r="L512" i="74" s="1"/>
  <c r="S519" i="74"/>
  <c r="D231" i="76" s="1"/>
  <c r="D230" i="76" s="1"/>
  <c r="G626" i="74"/>
  <c r="K626" i="74"/>
  <c r="O626" i="74"/>
  <c r="S652" i="74"/>
  <c r="R657" i="74"/>
  <c r="N657" i="74"/>
  <c r="S662" i="74"/>
  <c r="S672" i="74"/>
  <c r="H721" i="74"/>
  <c r="H720" i="74" s="1"/>
  <c r="H716" i="74" s="1"/>
  <c r="H715" i="74" s="1"/>
  <c r="H714" i="74" s="1"/>
  <c r="H713" i="74" s="1"/>
  <c r="H712" i="74" s="1"/>
  <c r="L721" i="74"/>
  <c r="L720" i="74" s="1"/>
  <c r="L716" i="74" s="1"/>
  <c r="L715" i="74" s="1"/>
  <c r="L714" i="74" s="1"/>
  <c r="L713" i="74" s="1"/>
  <c r="L712" i="74" s="1"/>
  <c r="J729" i="74"/>
  <c r="J728" i="74" s="1"/>
  <c r="J727" i="74" s="1"/>
  <c r="N729" i="74"/>
  <c r="N728" i="74" s="1"/>
  <c r="N727" i="74" s="1"/>
  <c r="J741" i="74"/>
  <c r="N741" i="74"/>
  <c r="R741" i="74"/>
  <c r="R879" i="74"/>
  <c r="R878" i="74" s="1"/>
  <c r="J29" i="74"/>
  <c r="L153" i="74"/>
  <c r="L152" i="74" s="1"/>
  <c r="L151" i="74" s="1"/>
  <c r="N286" i="74"/>
  <c r="R286" i="74"/>
  <c r="P295" i="74"/>
  <c r="S300" i="74"/>
  <c r="N324" i="74"/>
  <c r="N323" i="74" s="1"/>
  <c r="M467" i="74"/>
  <c r="S509" i="74"/>
  <c r="N240" i="74"/>
  <c r="G295" i="74"/>
  <c r="O324" i="74"/>
  <c r="O323" i="74" s="1"/>
  <c r="G757" i="74"/>
  <c r="K757" i="74"/>
  <c r="I839" i="74"/>
  <c r="I838" i="74" s="1"/>
  <c r="I837" i="74" s="1"/>
  <c r="I836" i="74" s="1"/>
  <c r="I835" i="74" s="1"/>
  <c r="M839" i="74"/>
  <c r="M838" i="74" s="1"/>
  <c r="M837" i="74" s="1"/>
  <c r="M836" i="74" s="1"/>
  <c r="M835" i="74" s="1"/>
  <c r="Q839" i="74"/>
  <c r="Q838" i="74" s="1"/>
  <c r="Q837" i="74" s="1"/>
  <c r="Q836" i="74" s="1"/>
  <c r="Q835" i="74" s="1"/>
  <c r="M879" i="74"/>
  <c r="M878" i="74" s="1"/>
  <c r="Q879" i="74"/>
  <c r="Q878" i="74" s="1"/>
  <c r="L893" i="74"/>
  <c r="L892" i="74" s="1"/>
  <c r="L891" i="74" s="1"/>
  <c r="L890" i="74" s="1"/>
  <c r="L889" i="74" s="1"/>
  <c r="P893" i="74"/>
  <c r="P892" i="74" s="1"/>
  <c r="P891" i="74" s="1"/>
  <c r="P890" i="74" s="1"/>
  <c r="P889" i="74" s="1"/>
  <c r="S576" i="74"/>
  <c r="D545" i="76" s="1"/>
  <c r="R490" i="74"/>
  <c r="N490" i="74"/>
  <c r="J490" i="74"/>
  <c r="Q46" i="74"/>
  <c r="N55" i="74"/>
  <c r="G73" i="74"/>
  <c r="K73" i="74"/>
  <c r="O73" i="74"/>
  <c r="N87" i="74"/>
  <c r="R87" i="74"/>
  <c r="Q87" i="74"/>
  <c r="M153" i="74"/>
  <c r="M152" i="74" s="1"/>
  <c r="M151" i="74" s="1"/>
  <c r="Q153" i="74"/>
  <c r="Q152" i="74" s="1"/>
  <c r="Q151" i="74" s="1"/>
  <c r="M185" i="74"/>
  <c r="M177" i="74" s="1"/>
  <c r="M176" i="74" s="1"/>
  <c r="M169" i="74" s="1"/>
  <c r="Q185" i="74"/>
  <c r="Q177" i="74" s="1"/>
  <c r="Q176" i="74" s="1"/>
  <c r="Q169" i="74" s="1"/>
  <c r="L185" i="74"/>
  <c r="L177" i="74" s="1"/>
  <c r="L176" i="74" s="1"/>
  <c r="L169" i="74" s="1"/>
  <c r="P185" i="74"/>
  <c r="P177" i="74" s="1"/>
  <c r="P176" i="74" s="1"/>
  <c r="P169" i="74" s="1"/>
  <c r="L276" i="74"/>
  <c r="L275" i="74" s="1"/>
  <c r="K286" i="74"/>
  <c r="O286" i="74"/>
  <c r="M295" i="74"/>
  <c r="J336" i="74"/>
  <c r="J335" i="74" s="1"/>
  <c r="J334" i="74" s="1"/>
  <c r="R336" i="74"/>
  <c r="R335" i="74" s="1"/>
  <c r="R334" i="74" s="1"/>
  <c r="I360" i="74"/>
  <c r="I359" i="74" s="1"/>
  <c r="I358" i="74" s="1"/>
  <c r="M360" i="74"/>
  <c r="M359" i="74" s="1"/>
  <c r="M358" i="74" s="1"/>
  <c r="Q360" i="74"/>
  <c r="Q359" i="74" s="1"/>
  <c r="Q358" i="74" s="1"/>
  <c r="Q467" i="74"/>
  <c r="Q514" i="74"/>
  <c r="Q513" i="74" s="1"/>
  <c r="Q512" i="74" s="1"/>
  <c r="R553" i="74"/>
  <c r="S170" i="74"/>
  <c r="S515" i="74"/>
  <c r="D227" i="76" s="1"/>
  <c r="D226" i="76" s="1"/>
  <c r="S261" i="74"/>
  <c r="M375" i="74"/>
  <c r="M374" i="74" s="1"/>
  <c r="G314" i="74"/>
  <c r="G313" i="74" s="1"/>
  <c r="S219" i="74"/>
  <c r="Q376" i="74"/>
  <c r="S142" i="74"/>
  <c r="D48" i="76" s="1"/>
  <c r="S694" i="74"/>
  <c r="G29" i="74"/>
  <c r="K29" i="74"/>
  <c r="S39" i="74"/>
  <c r="M29" i="74"/>
  <c r="Q29" i="74"/>
  <c r="S42" i="74"/>
  <c r="D17" i="76" s="1"/>
  <c r="S44" i="74"/>
  <c r="P55" i="74"/>
  <c r="R55" i="74"/>
  <c r="S74" i="74"/>
  <c r="D102" i="76" s="1"/>
  <c r="D101" i="76" s="1"/>
  <c r="J87" i="74"/>
  <c r="K96" i="74"/>
  <c r="O96" i="74"/>
  <c r="G96" i="74"/>
  <c r="I96" i="74"/>
  <c r="M96" i="74"/>
  <c r="Q96" i="74"/>
  <c r="S111" i="74"/>
  <c r="S117" i="74"/>
  <c r="K121" i="74"/>
  <c r="O121" i="74"/>
  <c r="L121" i="74"/>
  <c r="P121" i="74"/>
  <c r="M121" i="74"/>
  <c r="S132" i="74"/>
  <c r="S171" i="74"/>
  <c r="S178" i="74"/>
  <c r="D88" i="76" s="1"/>
  <c r="S180" i="74"/>
  <c r="S186" i="74"/>
  <c r="S195" i="74"/>
  <c r="M208" i="74"/>
  <c r="M207" i="74" s="1"/>
  <c r="G208" i="74"/>
  <c r="G207" i="74" s="1"/>
  <c r="S223" i="74"/>
  <c r="S233" i="74"/>
  <c r="D171" i="76" s="1"/>
  <c r="D170" i="76" s="1"/>
  <c r="R240" i="74"/>
  <c r="S280" i="74"/>
  <c r="S284" i="74"/>
  <c r="S291" i="74"/>
  <c r="S296" i="74"/>
  <c r="D185" i="76" s="1"/>
  <c r="D184" i="76" s="1"/>
  <c r="K295" i="74"/>
  <c r="S298" i="74"/>
  <c r="S306" i="74"/>
  <c r="L303" i="74"/>
  <c r="L302" i="74" s="1"/>
  <c r="P303" i="74"/>
  <c r="P302" i="74" s="1"/>
  <c r="I324" i="74"/>
  <c r="I323" i="74" s="1"/>
  <c r="S332" i="74"/>
  <c r="S342" i="74"/>
  <c r="S356" i="74"/>
  <c r="S362" i="74"/>
  <c r="D202" i="76" s="1"/>
  <c r="I391" i="74"/>
  <c r="Q391" i="74"/>
  <c r="Q385" i="74" s="1"/>
  <c r="Q379" i="74" s="1"/>
  <c r="S408" i="74"/>
  <c r="D374" i="76" s="1"/>
  <c r="S446" i="74"/>
  <c r="M438" i="74"/>
  <c r="S470" i="74"/>
  <c r="S496" i="74"/>
  <c r="M490" i="74"/>
  <c r="Q490" i="74"/>
  <c r="S517" i="74"/>
  <c r="D229" i="76" s="1"/>
  <c r="D228" i="76" s="1"/>
  <c r="S521" i="74"/>
  <c r="D233" i="76" s="1"/>
  <c r="D232" i="76" s="1"/>
  <c r="S523" i="74"/>
  <c r="S525" i="74"/>
  <c r="S530" i="74"/>
  <c r="D392" i="76" s="1"/>
  <c r="S561" i="74"/>
  <c r="D511" i="76" s="1"/>
  <c r="S580" i="74"/>
  <c r="S582" i="74"/>
  <c r="D524" i="76" s="1"/>
  <c r="D523" i="76" s="1"/>
  <c r="D522" i="76" s="1"/>
  <c r="S590" i="74"/>
  <c r="S627" i="74"/>
  <c r="D262" i="76" s="1"/>
  <c r="D261" i="76" s="1"/>
  <c r="N626" i="74"/>
  <c r="R626" i="74"/>
  <c r="S629" i="74"/>
  <c r="D264" i="76" s="1"/>
  <c r="D263" i="76" s="1"/>
  <c r="M626" i="74"/>
  <c r="L626" i="74"/>
  <c r="S633" i="74"/>
  <c r="D268" i="76" s="1"/>
  <c r="D267" i="76" s="1"/>
  <c r="S635" i="74"/>
  <c r="D270" i="76" s="1"/>
  <c r="D269" i="76" s="1"/>
  <c r="S637" i="74"/>
  <c r="D272" i="76" s="1"/>
  <c r="I667" i="74"/>
  <c r="I657" i="74" s="1"/>
  <c r="I656" i="74" s="1"/>
  <c r="M667" i="74"/>
  <c r="M657" i="74" s="1"/>
  <c r="M656" i="74" s="1"/>
  <c r="M795" i="74"/>
  <c r="Q795" i="74"/>
  <c r="S34" i="74"/>
  <c r="D90" i="76" s="1"/>
  <c r="H116" i="74"/>
  <c r="H115" i="74" s="1"/>
  <c r="S115" i="74" s="1"/>
  <c r="I869" i="74"/>
  <c r="I868" i="74" s="1"/>
  <c r="I859" i="74" s="1"/>
  <c r="I858" i="74" s="1"/>
  <c r="I857" i="74" s="1"/>
  <c r="M869" i="74"/>
  <c r="M868" i="74" s="1"/>
  <c r="M859" i="74" s="1"/>
  <c r="M858" i="74" s="1"/>
  <c r="M857" i="74" s="1"/>
  <c r="Q869" i="74"/>
  <c r="Q868" i="74" s="1"/>
  <c r="Q859" i="74" s="1"/>
  <c r="Q858" i="74" s="1"/>
  <c r="Q857" i="74" s="1"/>
  <c r="N527" i="74"/>
  <c r="S614" i="74"/>
  <c r="S639" i="74"/>
  <c r="S644" i="74"/>
  <c r="S647" i="74"/>
  <c r="S649" i="74"/>
  <c r="D367" i="76" s="1"/>
  <c r="S650" i="74"/>
  <c r="D315" i="76" s="1"/>
  <c r="D314" i="76" s="1"/>
  <c r="P657" i="74"/>
  <c r="O657" i="74"/>
  <c r="S665" i="74"/>
  <c r="D518" i="76" s="1"/>
  <c r="Q657" i="74"/>
  <c r="S722" i="74"/>
  <c r="R721" i="74"/>
  <c r="R720" i="74" s="1"/>
  <c r="R716" i="74" s="1"/>
  <c r="R715" i="74" s="1"/>
  <c r="R714" i="74" s="1"/>
  <c r="R713" i="74" s="1"/>
  <c r="R712" i="74" s="1"/>
  <c r="S723" i="74"/>
  <c r="I721" i="74"/>
  <c r="I720" i="74" s="1"/>
  <c r="I716" i="74" s="1"/>
  <c r="I715" i="74" s="1"/>
  <c r="I714" i="74" s="1"/>
  <c r="I713" i="74" s="1"/>
  <c r="I712" i="74" s="1"/>
  <c r="Q721" i="74"/>
  <c r="Q720" i="74" s="1"/>
  <c r="Q716" i="74" s="1"/>
  <c r="Q715" i="74" s="1"/>
  <c r="Q714" i="74" s="1"/>
  <c r="Q713" i="74" s="1"/>
  <c r="Q712" i="74" s="1"/>
  <c r="S730" i="74"/>
  <c r="L729" i="74"/>
  <c r="L728" i="74" s="1"/>
  <c r="L727" i="74" s="1"/>
  <c r="G729" i="74"/>
  <c r="G728" i="74" s="1"/>
  <c r="G727" i="74" s="1"/>
  <c r="K729" i="74"/>
  <c r="K728" i="74" s="1"/>
  <c r="K727" i="74" s="1"/>
  <c r="O729" i="74"/>
  <c r="O728" i="74" s="1"/>
  <c r="O727" i="74" s="1"/>
  <c r="H741" i="74"/>
  <c r="S744" i="74"/>
  <c r="K741" i="74"/>
  <c r="O741" i="74"/>
  <c r="S755" i="74"/>
  <c r="D470" i="76" s="1"/>
  <c r="D469" i="76" s="1"/>
  <c r="N757" i="74"/>
  <c r="R757" i="74"/>
  <c r="L757" i="74"/>
  <c r="P757" i="74"/>
  <c r="S766" i="74"/>
  <c r="D478" i="76" s="1"/>
  <c r="D477" i="76" s="1"/>
  <c r="M757" i="74"/>
  <c r="S768" i="74"/>
  <c r="D484" i="76" s="1"/>
  <c r="D483" i="76" s="1"/>
  <c r="S771" i="74"/>
  <c r="D487" i="76" s="1"/>
  <c r="D486" i="76" s="1"/>
  <c r="S783" i="74"/>
  <c r="D364" i="76" s="1"/>
  <c r="K782" i="74"/>
  <c r="K781" i="74" s="1"/>
  <c r="K795" i="74"/>
  <c r="O795" i="74"/>
  <c r="S825" i="74"/>
  <c r="S828" i="74"/>
  <c r="N839" i="74"/>
  <c r="N838" i="74" s="1"/>
  <c r="N837" i="74" s="1"/>
  <c r="N836" i="74" s="1"/>
  <c r="N835" i="74" s="1"/>
  <c r="R839" i="74"/>
  <c r="R838" i="74" s="1"/>
  <c r="R837" i="74" s="1"/>
  <c r="R836" i="74" s="1"/>
  <c r="R835" i="74" s="1"/>
  <c r="S842" i="74"/>
  <c r="D448" i="76" s="1"/>
  <c r="D447" i="76" s="1"/>
  <c r="L839" i="74"/>
  <c r="L838" i="74" s="1"/>
  <c r="L837" i="74" s="1"/>
  <c r="L836" i="74" s="1"/>
  <c r="L835" i="74" s="1"/>
  <c r="P839" i="74"/>
  <c r="P838" i="74" s="1"/>
  <c r="P837" i="74" s="1"/>
  <c r="P836" i="74" s="1"/>
  <c r="P835" i="74" s="1"/>
  <c r="K839" i="74"/>
  <c r="K838" i="74" s="1"/>
  <c r="K837" i="74" s="1"/>
  <c r="K836" i="74" s="1"/>
  <c r="K835" i="74" s="1"/>
  <c r="O839" i="74"/>
  <c r="O838" i="74" s="1"/>
  <c r="O837" i="74" s="1"/>
  <c r="O836" i="74" s="1"/>
  <c r="O835" i="74" s="1"/>
  <c r="S850" i="74"/>
  <c r="D460" i="76" s="1"/>
  <c r="S855" i="74"/>
  <c r="D465" i="76" s="1"/>
  <c r="D464" i="76" s="1"/>
  <c r="H879" i="74"/>
  <c r="H878" i="74" s="1"/>
  <c r="L879" i="74"/>
  <c r="L878" i="74" s="1"/>
  <c r="P879" i="74"/>
  <c r="P878" i="74" s="1"/>
  <c r="N893" i="74"/>
  <c r="N892" i="74" s="1"/>
  <c r="N891" i="74" s="1"/>
  <c r="N890" i="74" s="1"/>
  <c r="N889" i="74" s="1"/>
  <c r="R893" i="74"/>
  <c r="R892" i="74" s="1"/>
  <c r="R891" i="74" s="1"/>
  <c r="R890" i="74" s="1"/>
  <c r="R889" i="74" s="1"/>
  <c r="S897" i="74"/>
  <c r="M893" i="74"/>
  <c r="M892" i="74" s="1"/>
  <c r="M891" i="74" s="1"/>
  <c r="M890" i="74" s="1"/>
  <c r="M889" i="74" s="1"/>
  <c r="Q893" i="74"/>
  <c r="Q892" i="74" s="1"/>
  <c r="Q891" i="74" s="1"/>
  <c r="Q890" i="74" s="1"/>
  <c r="Q889" i="74" s="1"/>
  <c r="Q704" i="74"/>
  <c r="Q703" i="74" s="1"/>
  <c r="Q702" i="74" s="1"/>
  <c r="Q690" i="74" s="1"/>
  <c r="M704" i="74"/>
  <c r="M703" i="74" s="1"/>
  <c r="M702" i="74" s="1"/>
  <c r="M690" i="74" s="1"/>
  <c r="I704" i="74"/>
  <c r="I703" i="74" s="1"/>
  <c r="I702" i="74" s="1"/>
  <c r="I690" i="74" s="1"/>
  <c r="R704" i="74"/>
  <c r="R703" i="74" s="1"/>
  <c r="R702" i="74" s="1"/>
  <c r="R690" i="74" s="1"/>
  <c r="N704" i="74"/>
  <c r="N703" i="74" s="1"/>
  <c r="N702" i="74" s="1"/>
  <c r="N690" i="74" s="1"/>
  <c r="J704" i="74"/>
  <c r="J703" i="74" s="1"/>
  <c r="J702" i="74" s="1"/>
  <c r="O685" i="74"/>
  <c r="O684" i="74" s="1"/>
  <c r="O683" i="74" s="1"/>
  <c r="K685" i="74"/>
  <c r="K684" i="74" s="1"/>
  <c r="K683" i="74" s="1"/>
  <c r="R685" i="74"/>
  <c r="R684" i="74" s="1"/>
  <c r="R683" i="74" s="1"/>
  <c r="N685" i="74"/>
  <c r="N684" i="74" s="1"/>
  <c r="N683" i="74" s="1"/>
  <c r="J685" i="74"/>
  <c r="J684" i="74" s="1"/>
  <c r="J683" i="74" s="1"/>
  <c r="P490" i="74"/>
  <c r="S164" i="74"/>
  <c r="D77" i="76" s="1"/>
  <c r="S82" i="74"/>
  <c r="H73" i="74"/>
  <c r="S340" i="74"/>
  <c r="P336" i="74"/>
  <c r="P335" i="74" s="1"/>
  <c r="P334" i="74" s="1"/>
  <c r="L336" i="74"/>
  <c r="L335" i="74" s="1"/>
  <c r="L334" i="74" s="1"/>
  <c r="S709" i="74"/>
  <c r="Q685" i="74"/>
  <c r="Q684" i="74" s="1"/>
  <c r="Q683" i="74" s="1"/>
  <c r="I46" i="74"/>
  <c r="S49" i="74"/>
  <c r="S69" i="74"/>
  <c r="S126" i="74"/>
  <c r="H121" i="74"/>
  <c r="S147" i="74"/>
  <c r="D53" i="76" s="1"/>
  <c r="I146" i="74"/>
  <c r="I145" i="74" s="1"/>
  <c r="I144" i="74" s="1"/>
  <c r="I256" i="74"/>
  <c r="S257" i="74"/>
  <c r="D175" i="76" s="1"/>
  <c r="D174" i="76" s="1"/>
  <c r="S287" i="74"/>
  <c r="J286" i="74"/>
  <c r="I318" i="74"/>
  <c r="S318" i="74" s="1"/>
  <c r="S319" i="74"/>
  <c r="H415" i="74"/>
  <c r="H414" i="74" s="1"/>
  <c r="S416" i="74"/>
  <c r="D512" i="76"/>
  <c r="G748" i="74"/>
  <c r="S748" i="74" s="1"/>
  <c r="S749" i="74"/>
  <c r="G799" i="74"/>
  <c r="S800" i="74"/>
  <c r="D308" i="76" s="1"/>
  <c r="D307" i="76" s="1"/>
  <c r="D306" i="76" s="1"/>
  <c r="S840" i="74"/>
  <c r="D446" i="76" s="1"/>
  <c r="D445" i="76" s="1"/>
  <c r="J839" i="74"/>
  <c r="J838" i="74" s="1"/>
  <c r="J847" i="74"/>
  <c r="S847" i="74" s="1"/>
  <c r="S848" i="74"/>
  <c r="S871" i="74"/>
  <c r="J869" i="74"/>
  <c r="J868" i="74" s="1"/>
  <c r="G886" i="74"/>
  <c r="S887" i="74"/>
  <c r="S615" i="74"/>
  <c r="I467" i="74"/>
  <c r="S468" i="74"/>
  <c r="S262" i="74"/>
  <c r="D167" i="76" s="1"/>
  <c r="D166" i="76" s="1"/>
  <c r="S344" i="74"/>
  <c r="I185" i="74"/>
  <c r="I177" i="74" s="1"/>
  <c r="I176" i="74" s="1"/>
  <c r="I169" i="74" s="1"/>
  <c r="J626" i="74"/>
  <c r="S361" i="74"/>
  <c r="S173" i="74"/>
  <c r="D74" i="76" s="1"/>
  <c r="G166" i="74"/>
  <c r="S166" i="74" s="1"/>
  <c r="S167" i="74"/>
  <c r="J182" i="74"/>
  <c r="S182" i="74" s="1"/>
  <c r="S183" i="74"/>
  <c r="H242" i="74"/>
  <c r="H241" i="74" s="1"/>
  <c r="H240" i="74" s="1"/>
  <c r="S243" i="74"/>
  <c r="H353" i="74"/>
  <c r="H352" i="74" s="1"/>
  <c r="H351" i="74" s="1"/>
  <c r="S354" i="74"/>
  <c r="G376" i="74"/>
  <c r="G375" i="74"/>
  <c r="K375" i="74"/>
  <c r="K374" i="74" s="1"/>
  <c r="K376" i="74"/>
  <c r="O375" i="74"/>
  <c r="O374" i="74" s="1"/>
  <c r="O376" i="74"/>
  <c r="J529" i="74"/>
  <c r="J528" i="74" s="1"/>
  <c r="J527" i="74" s="1"/>
  <c r="S534" i="74"/>
  <c r="D566" i="76" s="1"/>
  <c r="D565" i="76" s="1"/>
  <c r="H611" i="74"/>
  <c r="H602" i="74" s="1"/>
  <c r="S612" i="74"/>
  <c r="D214" i="76" s="1"/>
  <c r="D213" i="76" s="1"/>
  <c r="D212" i="76" s="1"/>
  <c r="H626" i="74"/>
  <c r="H625" i="74" s="1"/>
  <c r="S631" i="74"/>
  <c r="D266" i="76" s="1"/>
  <c r="D265" i="76" s="1"/>
  <c r="S762" i="74"/>
  <c r="D475" i="76" s="1"/>
  <c r="S569" i="74"/>
  <c r="S686" i="74"/>
  <c r="G685" i="74"/>
  <c r="G684" i="74" s="1"/>
  <c r="G683" i="74" s="1"/>
  <c r="L864" i="74"/>
  <c r="L862" i="74" s="1"/>
  <c r="L869" i="74"/>
  <c r="L868" i="74" s="1"/>
  <c r="I161" i="74"/>
  <c r="I158" i="74" s="1"/>
  <c r="I154" i="74" s="1"/>
  <c r="I153" i="74" s="1"/>
  <c r="S162" i="74"/>
  <c r="H303" i="74"/>
  <c r="H302" i="74" s="1"/>
  <c r="J55" i="74"/>
  <c r="J295" i="74"/>
  <c r="S172" i="74"/>
  <c r="I757" i="74"/>
  <c r="G667" i="74"/>
  <c r="G657" i="74" s="1"/>
  <c r="G656" i="74" s="1"/>
  <c r="S213" i="74"/>
  <c r="G286" i="74"/>
  <c r="S616" i="74"/>
  <c r="P869" i="74"/>
  <c r="P868" i="74" s="1"/>
  <c r="P859" i="74" s="1"/>
  <c r="P858" i="74" s="1"/>
  <c r="P857" i="74" s="1"/>
  <c r="S705" i="74"/>
  <c r="G194" i="74"/>
  <c r="G193" i="74" s="1"/>
  <c r="S742" i="74"/>
  <c r="S377" i="74"/>
  <c r="I893" i="74"/>
  <c r="I892" i="74" s="1"/>
  <c r="I891" i="74" s="1"/>
  <c r="I890" i="74" s="1"/>
  <c r="I889" i="74" s="1"/>
  <c r="J17" i="74"/>
  <c r="S18" i="74"/>
  <c r="D29" i="76" s="1"/>
  <c r="S122" i="74"/>
  <c r="D68" i="76" s="1"/>
  <c r="D67" i="76" s="1"/>
  <c r="G121" i="74"/>
  <c r="S130" i="74"/>
  <c r="D113" i="76" s="1"/>
  <c r="D112" i="76" s="1"/>
  <c r="D107" i="76" s="1"/>
  <c r="I121" i="74"/>
  <c r="H185" i="74"/>
  <c r="H177" i="74" s="1"/>
  <c r="H176" i="74" s="1"/>
  <c r="H169" i="74" s="1"/>
  <c r="S188" i="74"/>
  <c r="J250" i="74"/>
  <c r="S251" i="74"/>
  <c r="I348" i="74"/>
  <c r="I347" i="74" s="1"/>
  <c r="S349" i="74"/>
  <c r="M537" i="74"/>
  <c r="S537" i="74" s="1"/>
  <c r="S538" i="74"/>
  <c r="I608" i="74"/>
  <c r="I602" i="74" s="1"/>
  <c r="S609" i="74"/>
  <c r="H658" i="74"/>
  <c r="S659" i="74"/>
  <c r="G699" i="74"/>
  <c r="G698" i="74" s="1"/>
  <c r="G697" i="74" s="1"/>
  <c r="S700" i="74"/>
  <c r="J757" i="74"/>
  <c r="S796" i="74"/>
  <c r="D304" i="76" s="1"/>
  <c r="I795" i="74"/>
  <c r="S845" i="74"/>
  <c r="G844" i="74"/>
  <c r="J893" i="74"/>
  <c r="J892" i="74" s="1"/>
  <c r="J891" i="74" s="1"/>
  <c r="S894" i="74"/>
  <c r="H864" i="74"/>
  <c r="H862" i="74" s="1"/>
  <c r="H869" i="74"/>
  <c r="H868" i="74" s="1"/>
  <c r="I438" i="74"/>
  <c r="I626" i="74"/>
  <c r="H153" i="74"/>
  <c r="H152" i="74" s="1"/>
  <c r="H151" i="74" s="1"/>
  <c r="H729" i="74"/>
  <c r="H728" i="74" s="1"/>
  <c r="H727" i="74" s="1"/>
  <c r="S364" i="74"/>
  <c r="S247" i="74"/>
  <c r="S224" i="74"/>
  <c r="S910" i="74"/>
  <c r="S826" i="74"/>
  <c r="D489" i="76" s="1"/>
  <c r="D488" i="76" s="1"/>
  <c r="G741" i="74"/>
  <c r="L490" i="74"/>
  <c r="S707" i="74"/>
  <c r="M685" i="74"/>
  <c r="M684" i="74" s="1"/>
  <c r="M683" i="74" s="1"/>
  <c r="G25" i="81"/>
  <c r="S149" i="74"/>
  <c r="F25" i="81"/>
  <c r="G18" i="81"/>
  <c r="L352" i="74"/>
  <c r="L351" i="74" s="1"/>
  <c r="L346" i="74" s="1"/>
  <c r="L73" i="74"/>
  <c r="P73" i="74"/>
  <c r="K87" i="74"/>
  <c r="K667" i="74"/>
  <c r="K657" i="74" s="1"/>
  <c r="K656" i="74" s="1"/>
  <c r="O667" i="74"/>
  <c r="L704" i="74"/>
  <c r="L703" i="74" s="1"/>
  <c r="L702" i="74" s="1"/>
  <c r="L690" i="74" s="1"/>
  <c r="G260" i="74"/>
  <c r="S260" i="74" s="1"/>
  <c r="K391" i="74"/>
  <c r="K385" i="74" s="1"/>
  <c r="K379" i="74" s="1"/>
  <c r="O391" i="74"/>
  <c r="O385" i="74" s="1"/>
  <c r="O379" i="74" s="1"/>
  <c r="L433" i="74"/>
  <c r="P433" i="74"/>
  <c r="O433" i="74"/>
  <c r="N438" i="74"/>
  <c r="R438" i="74"/>
  <c r="S92" i="74"/>
  <c r="D122" i="76" s="1"/>
  <c r="D121" i="76" s="1"/>
  <c r="I276" i="74"/>
  <c r="I275" i="74" s="1"/>
  <c r="M276" i="74"/>
  <c r="M275" i="74" s="1"/>
  <c r="I514" i="74"/>
  <c r="I513" i="74" s="1"/>
  <c r="I512" i="74" s="1"/>
  <c r="M514" i="74"/>
  <c r="M513" i="74" s="1"/>
  <c r="M512" i="74" s="1"/>
  <c r="M87" i="74"/>
  <c r="M314" i="74"/>
  <c r="M313" i="74" s="1"/>
  <c r="O352" i="74"/>
  <c r="O351" i="74" s="1"/>
  <c r="O346" i="74" s="1"/>
  <c r="S389" i="74"/>
  <c r="L391" i="74"/>
  <c r="L385" i="74" s="1"/>
  <c r="L379" i="74" s="1"/>
  <c r="P391" i="74"/>
  <c r="P385" i="74" s="1"/>
  <c r="P379" i="74" s="1"/>
  <c r="S406" i="74"/>
  <c r="S431" i="74"/>
  <c r="D331" i="76" s="1"/>
  <c r="D330" i="76" s="1"/>
  <c r="S436" i="74"/>
  <c r="D336" i="76" s="1"/>
  <c r="H839" i="74"/>
  <c r="L667" i="74"/>
  <c r="L657" i="74" s="1"/>
  <c r="L656" i="74" s="1"/>
  <c r="S668" i="74"/>
  <c r="D521" i="76" s="1"/>
  <c r="D520" i="76" s="1"/>
  <c r="G692" i="74"/>
  <c r="G691" i="74" s="1"/>
  <c r="S693" i="74"/>
  <c r="Q626" i="74"/>
  <c r="O314" i="74"/>
  <c r="O313" i="74" s="1"/>
  <c r="H336" i="74"/>
  <c r="H335" i="74" s="1"/>
  <c r="H334" i="74" s="1"/>
  <c r="M352" i="74"/>
  <c r="M351" i="74" s="1"/>
  <c r="M346" i="74" s="1"/>
  <c r="J721" i="74"/>
  <c r="J720" i="74" s="1"/>
  <c r="J716" i="74" s="1"/>
  <c r="J715" i="74" s="1"/>
  <c r="J714" i="74" s="1"/>
  <c r="J713" i="74" s="1"/>
  <c r="J712" i="74" s="1"/>
  <c r="N721" i="74"/>
  <c r="N720" i="74" s="1"/>
  <c r="N716" i="74" s="1"/>
  <c r="N715" i="74" s="1"/>
  <c r="N714" i="74" s="1"/>
  <c r="N713" i="74" s="1"/>
  <c r="N712" i="74" s="1"/>
  <c r="L741" i="74"/>
  <c r="E459" i="76"/>
  <c r="D562" i="76"/>
  <c r="K324" i="74"/>
  <c r="K323" i="74" s="1"/>
  <c r="E137" i="76"/>
  <c r="E215" i="76"/>
  <c r="E211" i="76" s="1"/>
  <c r="F28" i="76"/>
  <c r="I29" i="74"/>
  <c r="L360" i="74"/>
  <c r="L359" i="74" s="1"/>
  <c r="L358" i="74" s="1"/>
  <c r="H467" i="74"/>
  <c r="P626" i="74"/>
  <c r="S641" i="74"/>
  <c r="D276" i="76" s="1"/>
  <c r="J786" i="74"/>
  <c r="J785" i="74" s="1"/>
  <c r="J782" i="74" s="1"/>
  <c r="J781" i="74" s="1"/>
  <c r="N786" i="74"/>
  <c r="N785" i="74" s="1"/>
  <c r="N782" i="74" s="1"/>
  <c r="N781" i="74" s="1"/>
  <c r="R786" i="74"/>
  <c r="R785" i="74" s="1"/>
  <c r="R782" i="74" s="1"/>
  <c r="R781" i="74" s="1"/>
  <c r="E60" i="76"/>
  <c r="O786" i="74"/>
  <c r="O785" i="74" s="1"/>
  <c r="O782" i="74" s="1"/>
  <c r="O781" i="74" s="1"/>
  <c r="L529" i="74"/>
  <c r="L528" i="74" s="1"/>
  <c r="L527" i="74" s="1"/>
  <c r="H786" i="74"/>
  <c r="H785" i="74" s="1"/>
  <c r="H782" i="74" s="1"/>
  <c r="H781" i="74" s="1"/>
  <c r="L786" i="74"/>
  <c r="L785" i="74" s="1"/>
  <c r="L782" i="74" s="1"/>
  <c r="L781" i="74" s="1"/>
  <c r="P786" i="74"/>
  <c r="P785" i="74" s="1"/>
  <c r="P782" i="74" s="1"/>
  <c r="P781" i="74" s="1"/>
  <c r="K276" i="74"/>
  <c r="K275" i="74" s="1"/>
  <c r="L324" i="74"/>
  <c r="L323" i="74" s="1"/>
  <c r="P324" i="74"/>
  <c r="P323" i="74" s="1"/>
  <c r="O336" i="74"/>
  <c r="O335" i="74" s="1"/>
  <c r="O334" i="74" s="1"/>
  <c r="M786" i="74"/>
  <c r="M785" i="74" s="1"/>
  <c r="M782" i="74" s="1"/>
  <c r="M781" i="74" s="1"/>
  <c r="Q786" i="74"/>
  <c r="Q785" i="74" s="1"/>
  <c r="Q782" i="74" s="1"/>
  <c r="Q781" i="74" s="1"/>
  <c r="P217" i="74"/>
  <c r="S218" i="74"/>
  <c r="D141" i="76" s="1"/>
  <c r="D140" i="76" s="1"/>
  <c r="H347" i="74"/>
  <c r="E157" i="76"/>
  <c r="F386" i="76"/>
  <c r="F318" i="76"/>
  <c r="F19" i="81"/>
  <c r="R208" i="74"/>
  <c r="R207" i="74" s="1"/>
  <c r="S278" i="74"/>
  <c r="I208" i="74"/>
  <c r="I207" i="74" s="1"/>
  <c r="S814" i="74"/>
  <c r="P514" i="74"/>
  <c r="P513" i="74" s="1"/>
  <c r="P512" i="74" s="1"/>
  <c r="E362" i="76"/>
  <c r="S78" i="74"/>
  <c r="D106" i="76" s="1"/>
  <c r="D105" i="76" s="1"/>
  <c r="N73" i="74"/>
  <c r="R73" i="74"/>
  <c r="S90" i="74"/>
  <c r="L87" i="74"/>
  <c r="P87" i="74"/>
  <c r="J96" i="74"/>
  <c r="R96" i="74"/>
  <c r="L96" i="74"/>
  <c r="P96" i="74"/>
  <c r="S104" i="74"/>
  <c r="K145" i="74"/>
  <c r="K144" i="74" s="1"/>
  <c r="P153" i="74"/>
  <c r="Q276" i="74"/>
  <c r="Q275" i="74" s="1"/>
  <c r="M553" i="74"/>
  <c r="Q553" i="74"/>
  <c r="Q542" i="74" s="1"/>
  <c r="P685" i="74"/>
  <c r="P684" i="74" s="1"/>
  <c r="P683" i="74" s="1"/>
  <c r="L685" i="74"/>
  <c r="L684" i="74" s="1"/>
  <c r="L683" i="74" s="1"/>
  <c r="S80" i="74"/>
  <c r="F215" i="76"/>
  <c r="F211" i="76" s="1"/>
  <c r="K879" i="74"/>
  <c r="K878" i="74" s="1"/>
  <c r="F72" i="76"/>
  <c r="S41" i="74"/>
  <c r="D16" i="76" s="1"/>
  <c r="S304" i="74"/>
  <c r="G467" i="74"/>
  <c r="K467" i="74"/>
  <c r="S725" i="74"/>
  <c r="P729" i="74"/>
  <c r="P728" i="74" s="1"/>
  <c r="P727" i="74" s="1"/>
  <c r="P741" i="74"/>
  <c r="Q757" i="74"/>
  <c r="G782" i="74"/>
  <c r="G781" i="74" s="1"/>
  <c r="S209" i="74"/>
  <c r="D536" i="76" s="1"/>
  <c r="D535" i="76" s="1"/>
  <c r="H208" i="74"/>
  <c r="H207" i="74" s="1"/>
  <c r="N208" i="74"/>
  <c r="N207" i="74" s="1"/>
  <c r="G240" i="74"/>
  <c r="J324" i="74"/>
  <c r="J323" i="74" s="1"/>
  <c r="M324" i="74"/>
  <c r="M323" i="74" s="1"/>
  <c r="Q324" i="74"/>
  <c r="Q323" i="74" s="1"/>
  <c r="S441" i="74"/>
  <c r="D344" i="76" s="1"/>
  <c r="G438" i="74"/>
  <c r="L438" i="74"/>
  <c r="Q438" i="74"/>
  <c r="S450" i="74"/>
  <c r="S454" i="74"/>
  <c r="D359" i="76" s="1"/>
  <c r="D358" i="76" s="1"/>
  <c r="K438" i="74"/>
  <c r="O438" i="74"/>
  <c r="P438" i="74"/>
  <c r="S462" i="74"/>
  <c r="S551" i="74"/>
  <c r="L553" i="74"/>
  <c r="P553" i="74"/>
  <c r="Q667" i="74"/>
  <c r="J145" i="74"/>
  <c r="J144" i="74" s="1"/>
  <c r="H324" i="74"/>
  <c r="H323" i="74" s="1"/>
  <c r="G360" i="74"/>
  <c r="G359" i="74" s="1"/>
  <c r="G358" i="74" s="1"/>
  <c r="G893" i="74"/>
  <c r="G892" i="74" s="1"/>
  <c r="G891" i="74" s="1"/>
  <c r="G890" i="74" s="1"/>
  <c r="G889" i="74" s="1"/>
  <c r="O893" i="74"/>
  <c r="O892" i="74" s="1"/>
  <c r="O891" i="74" s="1"/>
  <c r="O890" i="74" s="1"/>
  <c r="O889" i="74" s="1"/>
  <c r="F192" i="76"/>
  <c r="F554" i="76"/>
  <c r="F535" i="76" s="1"/>
  <c r="I87" i="74"/>
  <c r="S88" i="74"/>
  <c r="D116" i="76" s="1"/>
  <c r="D115" i="76" s="1"/>
  <c r="D114" i="76" s="1"/>
  <c r="H96" i="74"/>
  <c r="S99" i="74"/>
  <c r="D126" i="76" s="1"/>
  <c r="D125" i="76" s="1"/>
  <c r="M108" i="74"/>
  <c r="S108" i="74" s="1"/>
  <c r="D37" i="76" s="1"/>
  <c r="S109" i="74"/>
  <c r="D38" i="76" s="1"/>
  <c r="R230" i="74"/>
  <c r="S231" i="74"/>
  <c r="H237" i="74"/>
  <c r="H236" i="74" s="1"/>
  <c r="H235" i="74" s="1"/>
  <c r="S238" i="74"/>
  <c r="K270" i="74"/>
  <c r="K269" i="74" s="1"/>
  <c r="N271" i="74"/>
  <c r="N270" i="74" s="1"/>
  <c r="N269" i="74" s="1"/>
  <c r="P308" i="74"/>
  <c r="S309" i="74"/>
  <c r="L315" i="74"/>
  <c r="S316" i="74"/>
  <c r="H386" i="74"/>
  <c r="S386" i="74" s="1"/>
  <c r="S387" i="74"/>
  <c r="D301" i="76" s="1"/>
  <c r="I401" i="74"/>
  <c r="S402" i="74"/>
  <c r="S434" i="74"/>
  <c r="D334" i="76" s="1"/>
  <c r="H433" i="74"/>
  <c r="J438" i="74"/>
  <c r="S439" i="74"/>
  <c r="D343" i="76" s="1"/>
  <c r="M475" i="74"/>
  <c r="S476" i="74"/>
  <c r="S556" i="74"/>
  <c r="H553" i="74"/>
  <c r="H542" i="74" s="1"/>
  <c r="I802" i="74"/>
  <c r="S803" i="74"/>
  <c r="S808" i="74"/>
  <c r="D338" i="76" s="1"/>
  <c r="J902" i="74"/>
  <c r="S903" i="74"/>
  <c r="S97" i="74"/>
  <c r="S913" i="74" s="1"/>
  <c r="H277" i="74"/>
  <c r="S277" i="74" s="1"/>
  <c r="D132" i="76" s="1"/>
  <c r="D131" i="76" s="1"/>
  <c r="S197" i="74"/>
  <c r="S810" i="74"/>
  <c r="K266" i="74"/>
  <c r="S267" i="74"/>
  <c r="G391" i="74"/>
  <c r="S392" i="74"/>
  <c r="D302" i="76"/>
  <c r="N411" i="74"/>
  <c r="N410" i="74" s="1"/>
  <c r="S410" i="74" s="1"/>
  <c r="S412" i="74"/>
  <c r="I414" i="74"/>
  <c r="S460" i="74"/>
  <c r="D395" i="76" s="1"/>
  <c r="D394" i="76" s="1"/>
  <c r="H438" i="74"/>
  <c r="I752" i="74"/>
  <c r="S753" i="74"/>
  <c r="S816" i="74"/>
  <c r="D377" i="76" s="1"/>
  <c r="D376" i="76" s="1"/>
  <c r="G328" i="74"/>
  <c r="S329" i="74"/>
  <c r="D189" i="76" s="1"/>
  <c r="D188" i="76" s="1"/>
  <c r="D187" i="76" s="1"/>
  <c r="N381" i="74"/>
  <c r="S382" i="74"/>
  <c r="H391" i="74"/>
  <c r="S395" i="74"/>
  <c r="D339" i="76" s="1"/>
  <c r="J398" i="74"/>
  <c r="S398" i="74" s="1"/>
  <c r="D361" i="76" s="1"/>
  <c r="D360" i="76" s="1"/>
  <c r="S399" i="74"/>
  <c r="S456" i="74"/>
  <c r="J464" i="74"/>
  <c r="S464" i="74" s="1"/>
  <c r="S465" i="74"/>
  <c r="D482" i="76" s="1"/>
  <c r="D481" i="76" s="1"/>
  <c r="S554" i="74"/>
  <c r="I553" i="74"/>
  <c r="I542" i="74" s="1"/>
  <c r="S812" i="74"/>
  <c r="S823" i="74"/>
  <c r="D313" i="76" s="1"/>
  <c r="D312" i="76" s="1"/>
  <c r="S820" i="74"/>
  <c r="S325" i="74"/>
  <c r="S210" i="74"/>
  <c r="S326" i="74"/>
  <c r="S214" i="74"/>
  <c r="D152" i="76" s="1"/>
  <c r="G352" i="74"/>
  <c r="G351" i="74" s="1"/>
  <c r="G346" i="74" s="1"/>
  <c r="J585" i="74"/>
  <c r="S585" i="74" s="1"/>
  <c r="D541" i="76" s="1"/>
  <c r="S586" i="74"/>
  <c r="I777" i="74"/>
  <c r="S778" i="74"/>
  <c r="D363" i="76" s="1"/>
  <c r="S787" i="74"/>
  <c r="D424" i="76" s="1"/>
  <c r="D317" i="76"/>
  <c r="D316" i="76" s="1"/>
  <c r="G864" i="74"/>
  <c r="G862" i="74" s="1"/>
  <c r="S865" i="74"/>
  <c r="S94" i="74"/>
  <c r="G337" i="74"/>
  <c r="S338" i="74"/>
  <c r="G23" i="74"/>
  <c r="S23" i="74" s="1"/>
  <c r="S24" i="74"/>
  <c r="J73" i="74"/>
  <c r="J369" i="74"/>
  <c r="S370" i="74"/>
  <c r="M529" i="74"/>
  <c r="G548" i="74"/>
  <c r="S549" i="74"/>
  <c r="G882" i="74"/>
  <c r="S883" i="74"/>
  <c r="S688" i="74"/>
  <c r="S492" i="74"/>
  <c r="D450" i="76" s="1"/>
  <c r="D449" i="76" s="1"/>
  <c r="G491" i="74"/>
  <c r="S494" i="74"/>
  <c r="K490" i="74"/>
  <c r="K875" i="74"/>
  <c r="S876" i="74"/>
  <c r="S113" i="74"/>
  <c r="D42" i="76" s="1"/>
  <c r="O879" i="74"/>
  <c r="O878" i="74" s="1"/>
  <c r="D561" i="76"/>
  <c r="D560" i="76" s="1"/>
  <c r="S669" i="74"/>
  <c r="J264" i="74"/>
  <c r="G254" i="74"/>
  <c r="G87" i="74"/>
  <c r="O490" i="74"/>
  <c r="M240" i="74"/>
  <c r="I490" i="74"/>
  <c r="I489" i="74" s="1"/>
  <c r="H691" i="74"/>
  <c r="I269" i="74"/>
  <c r="J697" i="74"/>
  <c r="Q208" i="74"/>
  <c r="Q207" i="74" s="1"/>
  <c r="P29" i="74"/>
  <c r="N96" i="74"/>
  <c r="N145" i="74"/>
  <c r="N144" i="74" s="1"/>
  <c r="P208" i="74"/>
  <c r="P207" i="74" s="1"/>
  <c r="O208" i="74"/>
  <c r="O207" i="74" s="1"/>
  <c r="J221" i="74"/>
  <c r="K208" i="74"/>
  <c r="K314" i="74"/>
  <c r="K313" i="74" s="1"/>
  <c r="Q314" i="74"/>
  <c r="Q313" i="74" s="1"/>
  <c r="Q240" i="74"/>
  <c r="G27" i="81"/>
  <c r="F39" i="81"/>
  <c r="S141" i="74"/>
  <c r="H140" i="74"/>
  <c r="S140" i="74" s="1"/>
  <c r="K240" i="74"/>
  <c r="J236" i="74"/>
  <c r="L240" i="74"/>
  <c r="O240" i="74"/>
  <c r="I245" i="74"/>
  <c r="S246" i="74"/>
  <c r="G145" i="74"/>
  <c r="P240" i="74"/>
  <c r="F157" i="76"/>
  <c r="F137" i="76"/>
  <c r="H55" i="74" l="1"/>
  <c r="J559" i="74"/>
  <c r="J558" i="74" s="1"/>
  <c r="L542" i="74"/>
  <c r="L541" i="74" s="1"/>
  <c r="O542" i="74"/>
  <c r="O541" i="74" s="1"/>
  <c r="I541" i="74"/>
  <c r="J541" i="74"/>
  <c r="R542" i="74"/>
  <c r="R541" i="74" s="1"/>
  <c r="K542" i="74"/>
  <c r="K541" i="74" s="1"/>
  <c r="S548" i="74"/>
  <c r="G542" i="74"/>
  <c r="Q541" i="74"/>
  <c r="N542" i="74"/>
  <c r="N541" i="74" s="1"/>
  <c r="M542" i="74"/>
  <c r="M541" i="74" s="1"/>
  <c r="P542" i="74"/>
  <c r="P541" i="74" s="1"/>
  <c r="D28" i="76"/>
  <c r="R222" i="74"/>
  <c r="R221" i="74" s="1"/>
  <c r="M55" i="74"/>
  <c r="S55" i="74" s="1"/>
  <c r="D60" i="76"/>
  <c r="O489" i="74"/>
  <c r="O482" i="74" s="1"/>
  <c r="O479" i="74" s="1"/>
  <c r="O478" i="74" s="1"/>
  <c r="O474" i="74" s="1"/>
  <c r="O473" i="74" s="1"/>
  <c r="O472" i="74" s="1"/>
  <c r="P489" i="74"/>
  <c r="P482" i="74" s="1"/>
  <c r="P479" i="74" s="1"/>
  <c r="P478" i="74" s="1"/>
  <c r="P474" i="74" s="1"/>
  <c r="P473" i="74" s="1"/>
  <c r="P472" i="74" s="1"/>
  <c r="N489" i="74"/>
  <c r="N482" i="74" s="1"/>
  <c r="N479" i="74" s="1"/>
  <c r="N478" i="74" s="1"/>
  <c r="N474" i="74" s="1"/>
  <c r="N473" i="74" s="1"/>
  <c r="N472" i="74" s="1"/>
  <c r="H489" i="74"/>
  <c r="H482" i="74" s="1"/>
  <c r="H479" i="74" s="1"/>
  <c r="H478" i="74" s="1"/>
  <c r="H474" i="74" s="1"/>
  <c r="H473" i="74" s="1"/>
  <c r="H472" i="74" s="1"/>
  <c r="R489" i="74"/>
  <c r="R482" i="74" s="1"/>
  <c r="R479" i="74" s="1"/>
  <c r="R478" i="74" s="1"/>
  <c r="R474" i="74" s="1"/>
  <c r="R473" i="74" s="1"/>
  <c r="R472" i="74" s="1"/>
  <c r="K489" i="74"/>
  <c r="K482" i="74" s="1"/>
  <c r="K479" i="74" s="1"/>
  <c r="K478" i="74" s="1"/>
  <c r="K474" i="74" s="1"/>
  <c r="K473" i="74" s="1"/>
  <c r="K472" i="74" s="1"/>
  <c r="Q489" i="74"/>
  <c r="Q482" i="74" s="1"/>
  <c r="Q479" i="74" s="1"/>
  <c r="Q478" i="74" s="1"/>
  <c r="Q474" i="74" s="1"/>
  <c r="Q473" i="74" s="1"/>
  <c r="Q472" i="74" s="1"/>
  <c r="L489" i="74"/>
  <c r="L482" i="74" s="1"/>
  <c r="L479" i="74" s="1"/>
  <c r="L478" i="74" s="1"/>
  <c r="L474" i="74" s="1"/>
  <c r="L473" i="74" s="1"/>
  <c r="L472" i="74" s="1"/>
  <c r="M489" i="74"/>
  <c r="J489" i="74"/>
  <c r="J482" i="74" s="1"/>
  <c r="J479" i="74" s="1"/>
  <c r="J478" i="74" s="1"/>
  <c r="J474" i="74" s="1"/>
  <c r="J473" i="74" s="1"/>
  <c r="J472" i="74" s="1"/>
  <c r="G676" i="74"/>
  <c r="G675" i="74" s="1"/>
  <c r="N676" i="74"/>
  <c r="N675" i="74" s="1"/>
  <c r="R676" i="74"/>
  <c r="R675" i="74" s="1"/>
  <c r="Q676" i="74"/>
  <c r="Q675" i="74" s="1"/>
  <c r="K676" i="74"/>
  <c r="K675" i="74" s="1"/>
  <c r="L676" i="74"/>
  <c r="L675" i="74" s="1"/>
  <c r="P676" i="74"/>
  <c r="P675" i="74" s="1"/>
  <c r="J676" i="74"/>
  <c r="J675" i="74" s="1"/>
  <c r="O676" i="74"/>
  <c r="O675" i="74" s="1"/>
  <c r="H676" i="74"/>
  <c r="H675" i="74" s="1"/>
  <c r="M676" i="74"/>
  <c r="M675" i="74" s="1"/>
  <c r="D491" i="76"/>
  <c r="D490" i="76" s="1"/>
  <c r="L558" i="74"/>
  <c r="Q558" i="74"/>
  <c r="M558" i="74"/>
  <c r="O558" i="74"/>
  <c r="R558" i="74"/>
  <c r="I558" i="74"/>
  <c r="K558" i="74"/>
  <c r="P558" i="74"/>
  <c r="N558" i="74"/>
  <c r="G558" i="74"/>
  <c r="D303" i="76"/>
  <c r="D75" i="76"/>
  <c r="D181" i="76"/>
  <c r="D180" i="76" s="1"/>
  <c r="F29" i="81"/>
  <c r="D72" i="76"/>
  <c r="K28" i="74"/>
  <c r="K27" i="74" s="1"/>
  <c r="D391" i="76"/>
  <c r="S30" i="74"/>
  <c r="D86" i="76" s="1"/>
  <c r="D85" i="76" s="1"/>
  <c r="F56" i="81"/>
  <c r="G28" i="74"/>
  <c r="G27" i="74" s="1"/>
  <c r="D345" i="76"/>
  <c r="E14" i="76"/>
  <c r="D192" i="76"/>
  <c r="D245" i="76"/>
  <c r="D137" i="76"/>
  <c r="H757" i="74"/>
  <c r="H740" i="74" s="1"/>
  <c r="H736" i="74" s="1"/>
  <c r="H735" i="74" s="1"/>
  <c r="H734" i="74" s="1"/>
  <c r="D544" i="76"/>
  <c r="D423" i="76"/>
  <c r="D422" i="76" s="1"/>
  <c r="D539" i="76"/>
  <c r="D198" i="76"/>
  <c r="D373" i="76"/>
  <c r="D40" i="76"/>
  <c r="D287" i="76"/>
  <c r="D286" i="76" s="1"/>
  <c r="S862" i="74"/>
  <c r="D458" i="76" s="1"/>
  <c r="D457" i="76" s="1"/>
  <c r="D151" i="76"/>
  <c r="D147" i="76" s="1"/>
  <c r="D130" i="76"/>
  <c r="D355" i="76"/>
  <c r="D354" i="76" s="1"/>
  <c r="D274" i="76"/>
  <c r="S158" i="74"/>
  <c r="D517" i="76"/>
  <c r="D271" i="76"/>
  <c r="D474" i="76"/>
  <c r="D473" i="76" s="1"/>
  <c r="D15" i="76"/>
  <c r="D36" i="76"/>
  <c r="D337" i="76"/>
  <c r="D98" i="76"/>
  <c r="D97" i="76" s="1"/>
  <c r="D444" i="76"/>
  <c r="D443" i="76" s="1"/>
  <c r="D442" i="76" s="1"/>
  <c r="D441" i="76" s="1"/>
  <c r="S154" i="74"/>
  <c r="G512" i="74"/>
  <c r="S512" i="74" s="1"/>
  <c r="F28" i="75" s="1"/>
  <c r="S911" i="74"/>
  <c r="D124" i="76"/>
  <c r="D123" i="76" s="1"/>
  <c r="D300" i="76"/>
  <c r="D87" i="76"/>
  <c r="S918" i="74"/>
  <c r="D368" i="76"/>
  <c r="D365" i="76" s="1"/>
  <c r="D530" i="76"/>
  <c r="D529" i="76" s="1"/>
  <c r="S915" i="74"/>
  <c r="D362" i="76"/>
  <c r="D510" i="76"/>
  <c r="G385" i="74"/>
  <c r="G379" i="74" s="1"/>
  <c r="G715" i="74"/>
  <c r="S716" i="74"/>
  <c r="M120" i="74"/>
  <c r="M119" i="74" s="1"/>
  <c r="K120" i="74"/>
  <c r="K119" i="74" s="1"/>
  <c r="N120" i="74"/>
  <c r="N119" i="74" s="1"/>
  <c r="J120" i="74"/>
  <c r="J119" i="74" s="1"/>
  <c r="I120" i="74"/>
  <c r="I119" i="74" s="1"/>
  <c r="H120" i="74"/>
  <c r="H119" i="74" s="1"/>
  <c r="P120" i="74"/>
  <c r="P119" i="74" s="1"/>
  <c r="Q120" i="74"/>
  <c r="Q119" i="74" s="1"/>
  <c r="L120" i="74"/>
  <c r="L119" i="74" s="1"/>
  <c r="G120" i="74"/>
  <c r="G119" i="74" s="1"/>
  <c r="O120" i="74"/>
  <c r="O119" i="74" s="1"/>
  <c r="R120" i="74"/>
  <c r="R119" i="74" s="1"/>
  <c r="G11" i="75"/>
  <c r="E46" i="76"/>
  <c r="D309" i="76"/>
  <c r="J859" i="74"/>
  <c r="J858" i="74" s="1"/>
  <c r="J857" i="74" s="1"/>
  <c r="G192" i="74"/>
  <c r="E23" i="76"/>
  <c r="E292" i="76"/>
  <c r="F292" i="76"/>
  <c r="E80" i="76"/>
  <c r="L86" i="74"/>
  <c r="L54" i="74" s="1"/>
  <c r="L53" i="74" s="1"/>
  <c r="R625" i="74"/>
  <c r="R624" i="74" s="1"/>
  <c r="R623" i="74" s="1"/>
  <c r="G625" i="74"/>
  <c r="G624" i="74" s="1"/>
  <c r="G623" i="74" s="1"/>
  <c r="M625" i="74"/>
  <c r="M624" i="74" s="1"/>
  <c r="M623" i="74" s="1"/>
  <c r="L625" i="74"/>
  <c r="L624" i="74" s="1"/>
  <c r="L623" i="74" s="1"/>
  <c r="N625" i="74"/>
  <c r="N624" i="74" s="1"/>
  <c r="N623" i="74" s="1"/>
  <c r="P625" i="74"/>
  <c r="P624" i="74" s="1"/>
  <c r="P623" i="74" s="1"/>
  <c r="Q625" i="74"/>
  <c r="Q624" i="74" s="1"/>
  <c r="Q623" i="74" s="1"/>
  <c r="O625" i="74"/>
  <c r="O624" i="74" s="1"/>
  <c r="O623" i="74" s="1"/>
  <c r="I625" i="74"/>
  <c r="I624" i="74" s="1"/>
  <c r="I623" i="74" s="1"/>
  <c r="J625" i="74"/>
  <c r="J624" i="74" s="1"/>
  <c r="J623" i="74" s="1"/>
  <c r="K625" i="74"/>
  <c r="K624" i="74" s="1"/>
  <c r="K623" i="74" s="1"/>
  <c r="H312" i="74"/>
  <c r="R711" i="74"/>
  <c r="E35" i="76"/>
  <c r="E327" i="76"/>
  <c r="F46" i="76"/>
  <c r="F401" i="76"/>
  <c r="G86" i="74"/>
  <c r="G54" i="74" s="1"/>
  <c r="Q656" i="74"/>
  <c r="N430" i="74"/>
  <c r="N419" i="74" s="1"/>
  <c r="F35" i="76"/>
  <c r="F327" i="76"/>
  <c r="N711" i="74"/>
  <c r="R794" i="74"/>
  <c r="R793" i="74" s="1"/>
  <c r="R775" i="74" s="1"/>
  <c r="N312" i="74"/>
  <c r="N311" i="74" s="1"/>
  <c r="F71" i="76"/>
  <c r="O740" i="74"/>
  <c r="O736" i="74" s="1"/>
  <c r="O735" i="74" s="1"/>
  <c r="O734" i="74" s="1"/>
  <c r="E186" i="76"/>
  <c r="F80" i="76"/>
  <c r="S272" i="74"/>
  <c r="F23" i="76"/>
  <c r="F14" i="76"/>
  <c r="H11" i="75"/>
  <c r="E71" i="76"/>
  <c r="H28" i="74"/>
  <c r="H27" i="74" s="1"/>
  <c r="I314" i="74"/>
  <c r="I313" i="74" s="1"/>
  <c r="S758" i="74"/>
  <c r="N206" i="74"/>
  <c r="N656" i="74"/>
  <c r="G13" i="81"/>
  <c r="G56" i="81"/>
  <c r="S241" i="74"/>
  <c r="D179" i="76" s="1"/>
  <c r="D178" i="76" s="1"/>
  <c r="Q283" i="74"/>
  <c r="Q282" i="74" s="1"/>
  <c r="Q274" i="74" s="1"/>
  <c r="S699" i="74"/>
  <c r="P711" i="74"/>
  <c r="I283" i="74"/>
  <c r="I282" i="74" s="1"/>
  <c r="I274" i="74" s="1"/>
  <c r="P794" i="74"/>
  <c r="P793" i="74" s="1"/>
  <c r="P775" i="74" s="1"/>
  <c r="M740" i="74"/>
  <c r="M736" i="74" s="1"/>
  <c r="M735" i="74" s="1"/>
  <c r="M734" i="74" s="1"/>
  <c r="H206" i="74"/>
  <c r="F13" i="81"/>
  <c r="F51" i="81"/>
  <c r="G58" i="81"/>
  <c r="G57" i="81" s="1"/>
  <c r="F42" i="81"/>
  <c r="F18" i="81"/>
  <c r="F16" i="81"/>
  <c r="F40" i="81"/>
  <c r="O28" i="74"/>
  <c r="O27" i="74" s="1"/>
  <c r="M711" i="74"/>
  <c r="J794" i="74"/>
  <c r="J793" i="74" s="1"/>
  <c r="J775" i="74" s="1"/>
  <c r="H86" i="74"/>
  <c r="H54" i="74" s="1"/>
  <c r="O834" i="74"/>
  <c r="R28" i="74"/>
  <c r="R27" i="74" s="1"/>
  <c r="R312" i="74"/>
  <c r="R311" i="74" s="1"/>
  <c r="G206" i="74"/>
  <c r="E401" i="76"/>
  <c r="S698" i="74"/>
  <c r="P656" i="74"/>
  <c r="R86" i="74"/>
  <c r="N794" i="74"/>
  <c r="N793" i="74" s="1"/>
  <c r="N775" i="74" s="1"/>
  <c r="K283" i="74"/>
  <c r="K282" i="74" s="1"/>
  <c r="K274" i="74" s="1"/>
  <c r="S242" i="74"/>
  <c r="J86" i="74"/>
  <c r="J54" i="74" s="1"/>
  <c r="S830" i="74"/>
  <c r="F54" i="75" s="1"/>
  <c r="I152" i="74"/>
  <c r="I151" i="74" s="1"/>
  <c r="R430" i="74"/>
  <c r="R419" i="74" s="1"/>
  <c r="R373" i="74" s="1"/>
  <c r="L711" i="74"/>
  <c r="S161" i="74"/>
  <c r="L283" i="74"/>
  <c r="L282" i="74" s="1"/>
  <c r="L274" i="74" s="1"/>
  <c r="L28" i="74"/>
  <c r="L27" i="74" s="1"/>
  <c r="S692" i="74"/>
  <c r="N28" i="74"/>
  <c r="N27" i="74" s="1"/>
  <c r="S295" i="74"/>
  <c r="N283" i="74"/>
  <c r="N282" i="74" s="1"/>
  <c r="N274" i="74" s="1"/>
  <c r="Q711" i="74"/>
  <c r="J206" i="74"/>
  <c r="Q206" i="74"/>
  <c r="Q430" i="74"/>
  <c r="Q419" i="74" s="1"/>
  <c r="Q373" i="74" s="1"/>
  <c r="G152" i="74"/>
  <c r="G151" i="74" s="1"/>
  <c r="R656" i="74"/>
  <c r="O206" i="74"/>
  <c r="J711" i="74"/>
  <c r="R740" i="74"/>
  <c r="R736" i="74" s="1"/>
  <c r="R735" i="74" s="1"/>
  <c r="R734" i="74" s="1"/>
  <c r="J312" i="74"/>
  <c r="L794" i="74"/>
  <c r="L793" i="74" s="1"/>
  <c r="L775" i="74" s="1"/>
  <c r="H657" i="74"/>
  <c r="H656" i="74" s="1"/>
  <c r="L206" i="74"/>
  <c r="G690" i="74"/>
  <c r="K86" i="74"/>
  <c r="K54" i="74" s="1"/>
  <c r="O711" i="74"/>
  <c r="M86" i="74"/>
  <c r="S237" i="74"/>
  <c r="D177" i="76" s="1"/>
  <c r="D176" i="76" s="1"/>
  <c r="M312" i="74"/>
  <c r="M311" i="74" s="1"/>
  <c r="M430" i="74"/>
  <c r="M419" i="74" s="1"/>
  <c r="M373" i="74" s="1"/>
  <c r="O86" i="74"/>
  <c r="H276" i="74"/>
  <c r="S276" i="74" s="1"/>
  <c r="J837" i="74"/>
  <c r="J836" i="74" s="1"/>
  <c r="J835" i="74" s="1"/>
  <c r="G283" i="74"/>
  <c r="G282" i="74" s="1"/>
  <c r="G274" i="74" s="1"/>
  <c r="K740" i="74"/>
  <c r="K736" i="74" s="1"/>
  <c r="K735" i="74" s="1"/>
  <c r="K734" i="74" s="1"/>
  <c r="O283" i="74"/>
  <c r="O282" i="74" s="1"/>
  <c r="O274" i="74" s="1"/>
  <c r="L740" i="74"/>
  <c r="L736" i="74" s="1"/>
  <c r="L735" i="74" s="1"/>
  <c r="L734" i="74" s="1"/>
  <c r="Q86" i="74"/>
  <c r="Q54" i="74" s="1"/>
  <c r="J28" i="74"/>
  <c r="J27" i="74" s="1"/>
  <c r="S415" i="74"/>
  <c r="S658" i="74"/>
  <c r="D283" i="76" s="1"/>
  <c r="D282" i="76" s="1"/>
  <c r="G740" i="74"/>
  <c r="G736" i="74" s="1"/>
  <c r="G735" i="74" s="1"/>
  <c r="G734" i="74" s="1"/>
  <c r="K834" i="74"/>
  <c r="I834" i="74"/>
  <c r="R283" i="74"/>
  <c r="R282" i="74" s="1"/>
  <c r="R274" i="74" s="1"/>
  <c r="M283" i="74"/>
  <c r="M282" i="74" s="1"/>
  <c r="M274" i="74" s="1"/>
  <c r="P834" i="74"/>
  <c r="O312" i="74"/>
  <c r="O311" i="74" s="1"/>
  <c r="S741" i="74"/>
  <c r="D419" i="76" s="1"/>
  <c r="D418" i="76" s="1"/>
  <c r="K711" i="74"/>
  <c r="N86" i="74"/>
  <c r="D554" i="76"/>
  <c r="D553" i="76" s="1"/>
  <c r="N834" i="74"/>
  <c r="M206" i="74"/>
  <c r="S153" i="74"/>
  <c r="J740" i="74"/>
  <c r="J736" i="74" s="1"/>
  <c r="J735" i="74" s="1"/>
  <c r="J734" i="74" s="1"/>
  <c r="I346" i="74"/>
  <c r="S46" i="74"/>
  <c r="D21" i="76" s="1"/>
  <c r="D19" i="76" s="1"/>
  <c r="Q794" i="74"/>
  <c r="Q793" i="74" s="1"/>
  <c r="Q775" i="74" s="1"/>
  <c r="M28" i="74"/>
  <c r="M27" i="74" s="1"/>
  <c r="K312" i="74"/>
  <c r="K311" i="74" s="1"/>
  <c r="S414" i="74"/>
  <c r="F18" i="75" s="1"/>
  <c r="H711" i="74"/>
  <c r="H283" i="74"/>
  <c r="H282" i="74" s="1"/>
  <c r="S146" i="74"/>
  <c r="D52" i="76" s="1"/>
  <c r="D51" i="76" s="1"/>
  <c r="G259" i="74"/>
  <c r="S259" i="74" s="1"/>
  <c r="O656" i="74"/>
  <c r="I430" i="74"/>
  <c r="I419" i="74" s="1"/>
  <c r="J283" i="74"/>
  <c r="J282" i="74" s="1"/>
  <c r="J274" i="74" s="1"/>
  <c r="P283" i="74"/>
  <c r="P282" i="74" s="1"/>
  <c r="P274" i="74" s="1"/>
  <c r="N740" i="74"/>
  <c r="N736" i="74" s="1"/>
  <c r="N735" i="74" s="1"/>
  <c r="N734" i="74" s="1"/>
  <c r="Q312" i="74"/>
  <c r="Q311" i="74" s="1"/>
  <c r="S194" i="74"/>
  <c r="S684" i="74"/>
  <c r="D552" i="76" s="1"/>
  <c r="D551" i="76" s="1"/>
  <c r="S729" i="74"/>
  <c r="D454" i="76" s="1"/>
  <c r="D453" i="76" s="1"/>
  <c r="S303" i="74"/>
  <c r="K794" i="74"/>
  <c r="K793" i="74" s="1"/>
  <c r="K775" i="74" s="1"/>
  <c r="S703" i="74"/>
  <c r="D528" i="76" s="1"/>
  <c r="D527" i="76" s="1"/>
  <c r="P740" i="74"/>
  <c r="P736" i="74" s="1"/>
  <c r="P735" i="74" s="1"/>
  <c r="P734" i="74" s="1"/>
  <c r="P312" i="74"/>
  <c r="P311" i="74" s="1"/>
  <c r="Q28" i="74"/>
  <c r="Q27" i="74" s="1"/>
  <c r="S467" i="74"/>
  <c r="S121" i="74"/>
  <c r="S702" i="74"/>
  <c r="O794" i="74"/>
  <c r="O793" i="74" s="1"/>
  <c r="O775" i="74" s="1"/>
  <c r="M794" i="74"/>
  <c r="M793" i="74" s="1"/>
  <c r="M775" i="74" s="1"/>
  <c r="S376" i="74"/>
  <c r="I86" i="74"/>
  <c r="S870" i="74"/>
  <c r="S116" i="74"/>
  <c r="D45" i="76" s="1"/>
  <c r="D44" i="76" s="1"/>
  <c r="P86" i="74"/>
  <c r="P54" i="74" s="1"/>
  <c r="S728" i="74"/>
  <c r="S891" i="74"/>
  <c r="F17" i="75" s="1"/>
  <c r="L430" i="74"/>
  <c r="L419" i="74" s="1"/>
  <c r="L373" i="74" s="1"/>
  <c r="M834" i="74"/>
  <c r="S667" i="74"/>
  <c r="I711" i="74"/>
  <c r="L859" i="74"/>
  <c r="L858" i="74" s="1"/>
  <c r="L857" i="74" s="1"/>
  <c r="L834" i="74" s="1"/>
  <c r="S286" i="74"/>
  <c r="D159" i="76" s="1"/>
  <c r="D158" i="76" s="1"/>
  <c r="P430" i="74"/>
  <c r="P419" i="74" s="1"/>
  <c r="P373" i="74" s="1"/>
  <c r="Q834" i="74"/>
  <c r="P152" i="74"/>
  <c r="P151" i="74" s="1"/>
  <c r="S302" i="74"/>
  <c r="S347" i="74"/>
  <c r="I255" i="74"/>
  <c r="S256" i="74"/>
  <c r="S844" i="74"/>
  <c r="G839" i="74"/>
  <c r="G838" i="74" s="1"/>
  <c r="G837" i="74" s="1"/>
  <c r="G836" i="74" s="1"/>
  <c r="G835" i="74" s="1"/>
  <c r="I593" i="74"/>
  <c r="S608" i="74"/>
  <c r="G374" i="74"/>
  <c r="S374" i="74" s="1"/>
  <c r="S375" i="74"/>
  <c r="D218" i="76" s="1"/>
  <c r="G885" i="74"/>
  <c r="S885" i="74" s="1"/>
  <c r="S886" i="74"/>
  <c r="G795" i="74"/>
  <c r="S799" i="74"/>
  <c r="H624" i="74"/>
  <c r="H623" i="74" s="1"/>
  <c r="J177" i="74"/>
  <c r="J176" i="74" s="1"/>
  <c r="J169" i="74" s="1"/>
  <c r="S869" i="74"/>
  <c r="S193" i="74"/>
  <c r="D461" i="76" s="1"/>
  <c r="D459" i="76" s="1"/>
  <c r="S864" i="74"/>
  <c r="R834" i="74"/>
  <c r="S892" i="74"/>
  <c r="S185" i="74"/>
  <c r="D415" i="76" s="1"/>
  <c r="D414" i="76" s="1"/>
  <c r="S353" i="74"/>
  <c r="S685" i="74"/>
  <c r="S348" i="74"/>
  <c r="I28" i="74"/>
  <c r="I27" i="74" s="1"/>
  <c r="J249" i="74"/>
  <c r="S250" i="74"/>
  <c r="J16" i="74"/>
  <c r="S17" i="74"/>
  <c r="H593" i="74"/>
  <c r="S611" i="74"/>
  <c r="G45" i="81"/>
  <c r="G40" i="81"/>
  <c r="G37" i="81" s="1"/>
  <c r="G36" i="81"/>
  <c r="F27" i="81"/>
  <c r="F36" i="81"/>
  <c r="G22" i="81"/>
  <c r="G21" i="81" s="1"/>
  <c r="G22" i="74"/>
  <c r="S805" i="74"/>
  <c r="S359" i="74"/>
  <c r="S433" i="74"/>
  <c r="D333" i="76" s="1"/>
  <c r="D332" i="76" s="1"/>
  <c r="S270" i="74"/>
  <c r="S720" i="74"/>
  <c r="S269" i="74"/>
  <c r="S721" i="74"/>
  <c r="O430" i="74"/>
  <c r="O419" i="74" s="1"/>
  <c r="O373" i="74" s="1"/>
  <c r="S704" i="74"/>
  <c r="H430" i="74"/>
  <c r="H419" i="74" s="1"/>
  <c r="S626" i="74"/>
  <c r="H838" i="74"/>
  <c r="K430" i="74"/>
  <c r="K419" i="74" s="1"/>
  <c r="K373" i="74" s="1"/>
  <c r="S893" i="74"/>
  <c r="G430" i="74"/>
  <c r="G419" i="74" s="1"/>
  <c r="S73" i="74"/>
  <c r="H385" i="74"/>
  <c r="H379" i="74" s="1"/>
  <c r="E127" i="76"/>
  <c r="F186" i="76"/>
  <c r="H346" i="74"/>
  <c r="S351" i="74"/>
  <c r="S360" i="74"/>
  <c r="S514" i="74"/>
  <c r="G33" i="81"/>
  <c r="F127" i="76"/>
  <c r="I206" i="74"/>
  <c r="P216" i="74"/>
  <c r="S216" i="74" s="1"/>
  <c r="S217" i="74"/>
  <c r="Q593" i="74"/>
  <c r="S411" i="74"/>
  <c r="S271" i="74"/>
  <c r="S594" i="74"/>
  <c r="D191" i="76" s="1"/>
  <c r="D190" i="76" s="1"/>
  <c r="J385" i="74"/>
  <c r="J379" i="74" s="1"/>
  <c r="F44" i="81"/>
  <c r="G17" i="81"/>
  <c r="H794" i="74"/>
  <c r="H793" i="74" s="1"/>
  <c r="H775" i="74" s="1"/>
  <c r="S438" i="74"/>
  <c r="D342" i="76" s="1"/>
  <c r="D341" i="76" s="1"/>
  <c r="Q740" i="74"/>
  <c r="Q736" i="74" s="1"/>
  <c r="Q735" i="74" s="1"/>
  <c r="Q734" i="74" s="1"/>
  <c r="I785" i="74"/>
  <c r="S786" i="74"/>
  <c r="G859" i="74"/>
  <c r="G858" i="74" s="1"/>
  <c r="J368" i="74"/>
  <c r="S369" i="74"/>
  <c r="D329" i="76" s="1"/>
  <c r="D328" i="76" s="1"/>
  <c r="J430" i="74"/>
  <c r="J419" i="74" s="1"/>
  <c r="S391" i="74"/>
  <c r="D322" i="76" s="1"/>
  <c r="D321" i="76" s="1"/>
  <c r="D318" i="76" s="1"/>
  <c r="H541" i="74"/>
  <c r="S553" i="74"/>
  <c r="L314" i="74"/>
  <c r="L313" i="74" s="1"/>
  <c r="L312" i="74" s="1"/>
  <c r="L311" i="74" s="1"/>
  <c r="S315" i="74"/>
  <c r="I751" i="74"/>
  <c r="S752" i="74"/>
  <c r="D467" i="76" s="1"/>
  <c r="D466" i="76" s="1"/>
  <c r="G490" i="74"/>
  <c r="S491" i="74"/>
  <c r="M528" i="74"/>
  <c r="S529" i="74"/>
  <c r="G336" i="74"/>
  <c r="S337" i="74"/>
  <c r="S352" i="74"/>
  <c r="K265" i="74"/>
  <c r="S266" i="74"/>
  <c r="J901" i="74"/>
  <c r="S902" i="74"/>
  <c r="S401" i="74"/>
  <c r="F16" i="75" s="1"/>
  <c r="I385" i="74"/>
  <c r="S308" i="74"/>
  <c r="N380" i="74"/>
  <c r="S380" i="74" s="1"/>
  <c r="S381" i="74"/>
  <c r="S513" i="74"/>
  <c r="D224" i="76" s="1"/>
  <c r="D221" i="76" s="1"/>
  <c r="S560" i="74"/>
  <c r="K874" i="74"/>
  <c r="S875" i="74"/>
  <c r="S882" i="74"/>
  <c r="G881" i="74"/>
  <c r="I776" i="74"/>
  <c r="S776" i="74" s="1"/>
  <c r="S777" i="74"/>
  <c r="G324" i="74"/>
  <c r="S328" i="74"/>
  <c r="S230" i="74"/>
  <c r="I794" i="74"/>
  <c r="I793" i="74" s="1"/>
  <c r="S802" i="74"/>
  <c r="S475" i="74"/>
  <c r="D351" i="76" s="1"/>
  <c r="S87" i="74"/>
  <c r="G253" i="74"/>
  <c r="H859" i="74"/>
  <c r="H858" i="74" s="1"/>
  <c r="H857" i="74" s="1"/>
  <c r="S868" i="74"/>
  <c r="K207" i="74"/>
  <c r="S208" i="74"/>
  <c r="S29" i="74"/>
  <c r="P28" i="74"/>
  <c r="S683" i="74"/>
  <c r="H690" i="74"/>
  <c r="S691" i="74"/>
  <c r="S727" i="74"/>
  <c r="D452" i="76" s="1"/>
  <c r="D451" i="76" s="1"/>
  <c r="S96" i="74"/>
  <c r="J690" i="74"/>
  <c r="S697" i="74"/>
  <c r="I240" i="74"/>
  <c r="S245" i="74"/>
  <c r="S236" i="74"/>
  <c r="J235" i="74"/>
  <c r="G176" i="74"/>
  <c r="G144" i="74"/>
  <c r="S145" i="74"/>
  <c r="I540" i="74" l="1"/>
  <c r="I506" i="74" s="1"/>
  <c r="Q540" i="74"/>
  <c r="Q506" i="74" s="1"/>
  <c r="R540" i="74"/>
  <c r="R506" i="74" s="1"/>
  <c r="J540" i="74"/>
  <c r="J506" i="74" s="1"/>
  <c r="O540" i="74"/>
  <c r="O506" i="74" s="1"/>
  <c r="N540" i="74"/>
  <c r="N506" i="74" s="1"/>
  <c r="L540" i="74"/>
  <c r="L506" i="74" s="1"/>
  <c r="P540" i="74"/>
  <c r="P506" i="74" s="1"/>
  <c r="K540" i="74"/>
  <c r="K506" i="74" s="1"/>
  <c r="M540" i="74"/>
  <c r="S222" i="74"/>
  <c r="S221" i="74"/>
  <c r="R206" i="74"/>
  <c r="R205" i="74" s="1"/>
  <c r="M479" i="74"/>
  <c r="M478" i="74" s="1"/>
  <c r="M474" i="74" s="1"/>
  <c r="M473" i="74" s="1"/>
  <c r="M482" i="74"/>
  <c r="M54" i="74"/>
  <c r="M53" i="74" s="1"/>
  <c r="M26" i="74" s="1"/>
  <c r="M13" i="74" s="1"/>
  <c r="G489" i="74"/>
  <c r="G482" i="74" s="1"/>
  <c r="J618" i="74"/>
  <c r="G618" i="74"/>
  <c r="K618" i="74"/>
  <c r="L618" i="74"/>
  <c r="M618" i="74"/>
  <c r="D71" i="76"/>
  <c r="S757" i="74"/>
  <c r="D472" i="76" s="1"/>
  <c r="D471" i="76" s="1"/>
  <c r="D468" i="76" s="1"/>
  <c r="D14" i="76"/>
  <c r="D35" i="76"/>
  <c r="F39" i="75"/>
  <c r="D285" i="76"/>
  <c r="D284" i="76" s="1"/>
  <c r="S909" i="74"/>
  <c r="F40" i="75"/>
  <c r="S715" i="74"/>
  <c r="G714" i="74"/>
  <c r="D165" i="76"/>
  <c r="D164" i="76" s="1"/>
  <c r="D157" i="76" s="1"/>
  <c r="S919" i="74"/>
  <c r="S22" i="74"/>
  <c r="F13" i="75"/>
  <c r="D217" i="76"/>
  <c r="D216" i="76" s="1"/>
  <c r="D215" i="76" s="1"/>
  <c r="J834" i="74"/>
  <c r="G191" i="74"/>
  <c r="S192" i="74"/>
  <c r="E13" i="76"/>
  <c r="F250" i="76"/>
  <c r="O618" i="74"/>
  <c r="S625" i="74"/>
  <c r="D260" i="76" s="1"/>
  <c r="D259" i="76" s="1"/>
  <c r="R618" i="74"/>
  <c r="Q618" i="74"/>
  <c r="P618" i="74"/>
  <c r="J53" i="74"/>
  <c r="J26" i="74" s="1"/>
  <c r="O54" i="74"/>
  <c r="O53" i="74" s="1"/>
  <c r="O26" i="74" s="1"/>
  <c r="O13" i="74" s="1"/>
  <c r="I54" i="74"/>
  <c r="I53" i="74" s="1"/>
  <c r="I26" i="74" s="1"/>
  <c r="I13" i="74" s="1"/>
  <c r="H53" i="74"/>
  <c r="H26" i="74" s="1"/>
  <c r="H13" i="74" s="1"/>
  <c r="N54" i="74"/>
  <c r="N53" i="74" s="1"/>
  <c r="N26" i="74" s="1"/>
  <c r="N13" i="74" s="1"/>
  <c r="P53" i="74"/>
  <c r="Q53" i="74"/>
  <c r="Q26" i="74" s="1"/>
  <c r="Q13" i="74" s="1"/>
  <c r="K53" i="74"/>
  <c r="K26" i="74" s="1"/>
  <c r="K13" i="74" s="1"/>
  <c r="R54" i="74"/>
  <c r="R53" i="74" s="1"/>
  <c r="R26" i="74" s="1"/>
  <c r="R13" i="74" s="1"/>
  <c r="H311" i="74"/>
  <c r="E250" i="76"/>
  <c r="N205" i="74"/>
  <c r="F13" i="76"/>
  <c r="N618" i="74"/>
  <c r="F33" i="75"/>
  <c r="S657" i="74"/>
  <c r="F35" i="81"/>
  <c r="F14" i="81"/>
  <c r="G46" i="81"/>
  <c r="F47" i="81"/>
  <c r="F58" i="81"/>
  <c r="F57" i="81" s="1"/>
  <c r="F46" i="81"/>
  <c r="F33" i="81"/>
  <c r="G35" i="81"/>
  <c r="S656" i="74"/>
  <c r="H618" i="74"/>
  <c r="O205" i="74"/>
  <c r="H275" i="74"/>
  <c r="S275" i="74" s="1"/>
  <c r="L26" i="74"/>
  <c r="L13" i="74" s="1"/>
  <c r="L205" i="74"/>
  <c r="Q205" i="74"/>
  <c r="M205" i="74"/>
  <c r="S624" i="74"/>
  <c r="S151" i="74"/>
  <c r="F47" i="75" s="1"/>
  <c r="G373" i="74"/>
  <c r="S177" i="74"/>
  <c r="S283" i="74"/>
  <c r="H373" i="74"/>
  <c r="S839" i="74"/>
  <c r="G21" i="74"/>
  <c r="S21" i="74" s="1"/>
  <c r="S152" i="74"/>
  <c r="D118" i="76" s="1"/>
  <c r="D117" i="76" s="1"/>
  <c r="S593" i="74"/>
  <c r="J15" i="74"/>
  <c r="S16" i="74"/>
  <c r="D27" i="76" s="1"/>
  <c r="I254" i="74"/>
  <c r="S255" i="74"/>
  <c r="S249" i="74"/>
  <c r="J240" i="74"/>
  <c r="J205" i="74" s="1"/>
  <c r="S795" i="74"/>
  <c r="G794" i="74"/>
  <c r="G793" i="74" s="1"/>
  <c r="G775" i="74" s="1"/>
  <c r="S602" i="74"/>
  <c r="G52" i="81"/>
  <c r="F45" i="75"/>
  <c r="P206" i="74"/>
  <c r="P205" i="74" s="1"/>
  <c r="H837" i="74"/>
  <c r="S838" i="74"/>
  <c r="S346" i="74"/>
  <c r="D257" i="76" s="1"/>
  <c r="D256" i="76" s="1"/>
  <c r="S120" i="74"/>
  <c r="S314" i="74"/>
  <c r="G14" i="81"/>
  <c r="G24" i="81"/>
  <c r="G23" i="81" s="1"/>
  <c r="G42" i="81"/>
  <c r="G19" i="81"/>
  <c r="S490" i="74"/>
  <c r="D411" i="76" s="1"/>
  <c r="D410" i="76" s="1"/>
  <c r="N379" i="74"/>
  <c r="N373" i="74" s="1"/>
  <c r="G60" i="81"/>
  <c r="G31" i="81"/>
  <c r="F24" i="81"/>
  <c r="F23" i="81" s="1"/>
  <c r="F31" i="81"/>
  <c r="S859" i="74"/>
  <c r="F60" i="81"/>
  <c r="K873" i="74"/>
  <c r="S874" i="74"/>
  <c r="M527" i="74"/>
  <c r="S527" i="74" s="1"/>
  <c r="F29" i="75" s="1"/>
  <c r="S528" i="74"/>
  <c r="D390" i="76" s="1"/>
  <c r="D389" i="76" s="1"/>
  <c r="G541" i="74"/>
  <c r="S542" i="74"/>
  <c r="D244" i="76" s="1"/>
  <c r="D243" i="76" s="1"/>
  <c r="S282" i="74"/>
  <c r="K264" i="74"/>
  <c r="S264" i="74" s="1"/>
  <c r="S265" i="74"/>
  <c r="I782" i="74"/>
  <c r="S785" i="74"/>
  <c r="J367" i="74"/>
  <c r="S368" i="74"/>
  <c r="G323" i="74"/>
  <c r="S324" i="74"/>
  <c r="G880" i="74"/>
  <c r="S881" i="74"/>
  <c r="J900" i="74"/>
  <c r="S901" i="74"/>
  <c r="H558" i="74"/>
  <c r="S559" i="74"/>
  <c r="D501" i="76" s="1"/>
  <c r="D500" i="76" s="1"/>
  <c r="D493" i="76" s="1"/>
  <c r="I379" i="74"/>
  <c r="S385" i="74"/>
  <c r="D297" i="76" s="1"/>
  <c r="D295" i="76" s="1"/>
  <c r="D292" i="76" s="1"/>
  <c r="G335" i="74"/>
  <c r="S336" i="74"/>
  <c r="S751" i="74"/>
  <c r="I740" i="74"/>
  <c r="S430" i="74"/>
  <c r="G53" i="74"/>
  <c r="I482" i="74"/>
  <c r="I479" i="74" s="1"/>
  <c r="I478" i="74" s="1"/>
  <c r="I474" i="74" s="1"/>
  <c r="I473" i="74" s="1"/>
  <c r="S86" i="74"/>
  <c r="S690" i="74"/>
  <c r="D534" i="76" s="1"/>
  <c r="D533" i="76" s="1"/>
  <c r="K206" i="74"/>
  <c r="S207" i="74"/>
  <c r="I675" i="74"/>
  <c r="I618" i="74" s="1"/>
  <c r="S676" i="74"/>
  <c r="D550" i="76" s="1"/>
  <c r="D549" i="76" s="1"/>
  <c r="D548" i="76" s="1"/>
  <c r="D547" i="76" s="1"/>
  <c r="I312" i="74"/>
  <c r="S313" i="74"/>
  <c r="P27" i="74"/>
  <c r="S28" i="74"/>
  <c r="S144" i="74"/>
  <c r="F38" i="81"/>
  <c r="F37" i="81" s="1"/>
  <c r="S119" i="74"/>
  <c r="G169" i="74"/>
  <c r="S169" i="74" s="1"/>
  <c r="S176" i="74"/>
  <c r="D82" i="76" s="1"/>
  <c r="D81" i="76" s="1"/>
  <c r="D80" i="76" s="1"/>
  <c r="S623" i="74"/>
  <c r="F53" i="81"/>
  <c r="S235" i="74"/>
  <c r="G55" i="81"/>
  <c r="G54" i="81" s="1"/>
  <c r="G205" i="74"/>
  <c r="G43" i="81"/>
  <c r="G44" i="81"/>
  <c r="G857" i="74"/>
  <c r="S858" i="74"/>
  <c r="R372" i="74" l="1"/>
  <c r="L372" i="74"/>
  <c r="O372" i="74"/>
  <c r="P372" i="74"/>
  <c r="N372" i="74"/>
  <c r="N12" i="74" s="1"/>
  <c r="D492" i="76"/>
  <c r="G479" i="74"/>
  <c r="G478" i="74" s="1"/>
  <c r="S478" i="74" s="1"/>
  <c r="S482" i="74"/>
  <c r="S489" i="74"/>
  <c r="F45" i="81"/>
  <c r="G20" i="81"/>
  <c r="F37" i="75"/>
  <c r="F46" i="75"/>
  <c r="D50" i="76"/>
  <c r="D47" i="76" s="1"/>
  <c r="D46" i="76" s="1"/>
  <c r="F27" i="75"/>
  <c r="D34" i="76"/>
  <c r="D33" i="76" s="1"/>
  <c r="S908" i="74"/>
  <c r="D210" i="76"/>
  <c r="D209" i="76" s="1"/>
  <c r="S916" i="74"/>
  <c r="F62" i="75"/>
  <c r="D143" i="76"/>
  <c r="D142" i="76" s="1"/>
  <c r="F61" i="75"/>
  <c r="S912" i="74"/>
  <c r="D59" i="76"/>
  <c r="D57" i="76" s="1"/>
  <c r="D258" i="76"/>
  <c r="D255" i="76" s="1"/>
  <c r="D254" i="76" s="1"/>
  <c r="F35" i="75"/>
  <c r="D281" i="76"/>
  <c r="D279" i="76" s="1"/>
  <c r="G713" i="74"/>
  <c r="S714" i="74"/>
  <c r="D406" i="76" s="1"/>
  <c r="G190" i="74"/>
  <c r="S190" i="74" s="1"/>
  <c r="D431" i="76" s="1"/>
  <c r="S191" i="74"/>
  <c r="D432" i="76" s="1"/>
  <c r="E12" i="76"/>
  <c r="F12" i="76"/>
  <c r="Q372" i="74"/>
  <c r="Q12" i="74" s="1"/>
  <c r="S54" i="74"/>
  <c r="S53" i="74"/>
  <c r="F43" i="75" s="1"/>
  <c r="F34" i="81"/>
  <c r="F32" i="81" s="1"/>
  <c r="G29" i="81"/>
  <c r="O12" i="74"/>
  <c r="R12" i="74"/>
  <c r="H274" i="74"/>
  <c r="H205" i="74" s="1"/>
  <c r="L12" i="74"/>
  <c r="G26" i="74"/>
  <c r="S240" i="74"/>
  <c r="S793" i="74"/>
  <c r="S794" i="74"/>
  <c r="I253" i="74"/>
  <c r="S254" i="74"/>
  <c r="J14" i="74"/>
  <c r="S15" i="74"/>
  <c r="D26" i="76" s="1"/>
  <c r="F20" i="81"/>
  <c r="F15" i="81"/>
  <c r="F52" i="81"/>
  <c r="F50" i="81" s="1"/>
  <c r="H836" i="74"/>
  <c r="S837" i="74"/>
  <c r="G15" i="81"/>
  <c r="M506" i="74"/>
  <c r="G47" i="81"/>
  <c r="G41" i="81" s="1"/>
  <c r="G53" i="81"/>
  <c r="G50" i="81" s="1"/>
  <c r="G28" i="81"/>
  <c r="F28" i="81"/>
  <c r="F17" i="81"/>
  <c r="J373" i="74"/>
  <c r="J372" i="74" s="1"/>
  <c r="S419" i="74"/>
  <c r="S880" i="74"/>
  <c r="F14" i="75" s="1"/>
  <c r="G879" i="74"/>
  <c r="I373" i="74"/>
  <c r="S379" i="74"/>
  <c r="S900" i="74"/>
  <c r="J890" i="74"/>
  <c r="G312" i="74"/>
  <c r="S312" i="74" s="1"/>
  <c r="D204" i="76" s="1"/>
  <c r="S323" i="74"/>
  <c r="D206" i="76" s="1"/>
  <c r="D205" i="76" s="1"/>
  <c r="J366" i="74"/>
  <c r="S367" i="74"/>
  <c r="I781" i="74"/>
  <c r="S782" i="74"/>
  <c r="H540" i="74"/>
  <c r="H506" i="74" s="1"/>
  <c r="S558" i="74"/>
  <c r="G334" i="74"/>
  <c r="S334" i="74" s="1"/>
  <c r="D208" i="76" s="1"/>
  <c r="D207" i="76" s="1"/>
  <c r="S335" i="74"/>
  <c r="F31" i="75" s="1"/>
  <c r="M472" i="74"/>
  <c r="I736" i="74"/>
  <c r="S740" i="74"/>
  <c r="G540" i="74"/>
  <c r="S541" i="74"/>
  <c r="S873" i="74"/>
  <c r="F59" i="75" s="1"/>
  <c r="F58" i="75" s="1"/>
  <c r="K372" i="74"/>
  <c r="I472" i="74"/>
  <c r="I311" i="74"/>
  <c r="S675" i="74"/>
  <c r="F36" i="75" s="1"/>
  <c r="P26" i="74"/>
  <c r="P13" i="74" s="1"/>
  <c r="S27" i="74"/>
  <c r="K205" i="74"/>
  <c r="S206" i="74"/>
  <c r="G61" i="81"/>
  <c r="G59" i="81" s="1"/>
  <c r="G30" i="81"/>
  <c r="S857" i="74"/>
  <c r="F57" i="75" s="1"/>
  <c r="G834" i="74"/>
  <c r="G49" i="81"/>
  <c r="G48" i="81" s="1"/>
  <c r="P12" i="74" l="1"/>
  <c r="S479" i="74"/>
  <c r="G474" i="74"/>
  <c r="S474" i="74" s="1"/>
  <c r="D350" i="76" s="1"/>
  <c r="D349" i="76" s="1"/>
  <c r="D327" i="76" s="1"/>
  <c r="D253" i="76"/>
  <c r="G12" i="81"/>
  <c r="F60" i="75"/>
  <c r="F15" i="75"/>
  <c r="D430" i="76"/>
  <c r="D429" i="76" s="1"/>
  <c r="F42" i="75"/>
  <c r="D120" i="76"/>
  <c r="D119" i="76" s="1"/>
  <c r="G473" i="74"/>
  <c r="F25" i="75"/>
  <c r="D409" i="76"/>
  <c r="D408" i="76" s="1"/>
  <c r="D407" i="76" s="1"/>
  <c r="S713" i="74"/>
  <c r="D405" i="76" s="1"/>
  <c r="G712" i="74"/>
  <c r="G13" i="74"/>
  <c r="S274" i="74"/>
  <c r="D129" i="76" s="1"/>
  <c r="D128" i="76" s="1"/>
  <c r="D127" i="76" s="1"/>
  <c r="S373" i="74"/>
  <c r="S14" i="74"/>
  <c r="D25" i="76" s="1"/>
  <c r="D24" i="76" s="1"/>
  <c r="D23" i="76" s="1"/>
  <c r="J13" i="74"/>
  <c r="S253" i="74"/>
  <c r="I205" i="74"/>
  <c r="S205" i="74" s="1"/>
  <c r="F19" i="75" s="1"/>
  <c r="F12" i="81"/>
  <c r="G26" i="81"/>
  <c r="M372" i="74"/>
  <c r="M12" i="74" s="1"/>
  <c r="H835" i="74"/>
  <c r="S836" i="74"/>
  <c r="F20" i="75"/>
  <c r="G34" i="81"/>
  <c r="G32" i="81" s="1"/>
  <c r="G311" i="74"/>
  <c r="F30" i="81"/>
  <c r="F26" i="81" s="1"/>
  <c r="F43" i="81"/>
  <c r="F41" i="81" s="1"/>
  <c r="F49" i="81"/>
  <c r="F48" i="81" s="1"/>
  <c r="G506" i="74"/>
  <c r="S506" i="74" s="1"/>
  <c r="D400" i="76" s="1"/>
  <c r="S540" i="74"/>
  <c r="S781" i="74"/>
  <c r="F52" i="75" s="1"/>
  <c r="I775" i="74"/>
  <c r="S775" i="74" s="1"/>
  <c r="F51" i="75" s="1"/>
  <c r="J889" i="74"/>
  <c r="S889" i="74" s="1"/>
  <c r="S890" i="74"/>
  <c r="G878" i="74"/>
  <c r="S878" i="74" s="1"/>
  <c r="S879" i="74"/>
  <c r="K12" i="74"/>
  <c r="I735" i="74"/>
  <c r="S736" i="74"/>
  <c r="J358" i="74"/>
  <c r="S358" i="74" s="1"/>
  <c r="F53" i="75" s="1"/>
  <c r="S366" i="74"/>
  <c r="S26" i="74"/>
  <c r="S618" i="74"/>
  <c r="F34" i="75" s="1"/>
  <c r="F32" i="75" s="1"/>
  <c r="F61" i="81"/>
  <c r="F59" i="81" s="1"/>
  <c r="D13" i="76" l="1"/>
  <c r="F30" i="75"/>
  <c r="F26" i="75" s="1"/>
  <c r="D242" i="76"/>
  <c r="D241" i="76" s="1"/>
  <c r="D240" i="76" s="1"/>
  <c r="D234" i="76" s="1"/>
  <c r="D211" i="76" s="1"/>
  <c r="G472" i="74"/>
  <c r="S472" i="74" s="1"/>
  <c r="S473" i="74"/>
  <c r="F24" i="75" s="1"/>
  <c r="F23" i="75" s="1"/>
  <c r="F50" i="75"/>
  <c r="F12" i="75"/>
  <c r="S712" i="74"/>
  <c r="G711" i="74"/>
  <c r="S711" i="74" s="1"/>
  <c r="S13" i="74"/>
  <c r="G11" i="81"/>
  <c r="S835" i="74"/>
  <c r="H834" i="74"/>
  <c r="F55" i="81"/>
  <c r="F54" i="81" s="1"/>
  <c r="F11" i="81" s="1"/>
  <c r="J311" i="74"/>
  <c r="I734" i="74"/>
  <c r="S735" i="74"/>
  <c r="G372" i="74" l="1"/>
  <c r="G12" i="74" s="1"/>
  <c r="D404" i="76"/>
  <c r="D403" i="76" s="1"/>
  <c r="D402" i="76" s="1"/>
  <c r="D401" i="76" s="1"/>
  <c r="F44" i="75"/>
  <c r="F41" i="75" s="1"/>
  <c r="F49" i="75"/>
  <c r="F48" i="75" s="1"/>
  <c r="D399" i="76"/>
  <c r="D398" i="76" s="1"/>
  <c r="D386" i="76" s="1"/>
  <c r="H372" i="74"/>
  <c r="H12" i="74" s="1"/>
  <c r="S834" i="74"/>
  <c r="F56" i="75" s="1"/>
  <c r="F55" i="75" s="1"/>
  <c r="S734" i="74"/>
  <c r="I372" i="74"/>
  <c r="J12" i="74"/>
  <c r="S311" i="74"/>
  <c r="D203" i="76" s="1"/>
  <c r="D201" i="76" s="1"/>
  <c r="D197" i="76" s="1"/>
  <c r="D186" i="76" s="1"/>
  <c r="D250" i="76" l="1"/>
  <c r="D12" i="76" s="1"/>
  <c r="F11" i="75"/>
  <c r="I12" i="74"/>
  <c r="S12" i="74" s="1"/>
  <c r="S372" i="74"/>
</calcChain>
</file>

<file path=xl/comments1.xml><?xml version="1.0" encoding="utf-8"?>
<comments xmlns="http://schemas.openxmlformats.org/spreadsheetml/2006/main">
  <authors>
    <author>User</author>
  </authors>
  <commentList>
    <comment ref="O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+9,0 внутр передвижка</t>
        </r>
      </text>
    </comment>
    <comment ref="I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5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+28,5 внутр. Передвижка
+70,0+190,0+400,0 - платные услуги</t>
        </r>
      </text>
    </comment>
    <comment ref="O5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02.09 +1,2
-1,5+1,5 внутр передвижка</t>
        </r>
      </text>
    </comment>
    <comment ref="O9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02.09</t>
        </r>
      </text>
    </comment>
    <comment ref="O1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I1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13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O16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-42.0 внутр передвижка</t>
        </r>
      </text>
    </comment>
    <comment ref="P21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внутренная по приказу на 936 СХО</t>
        </r>
      </text>
    </comment>
    <comment ref="H22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834,6 софинансирование ППМИ, 1000 Кт сосновка, 535,6 резерв
730,04 резерв от возврата молодой семьи</t>
        </r>
      </text>
    </comment>
    <comment ref="L22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-590,11802 по приказу на 936</t>
        </r>
      </text>
    </comment>
    <comment ref="I4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-17,5</t>
        </r>
      </text>
    </comment>
    <comment ref="L4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0,15265 с софинансирования по тко, 0,416 разница с доходами</t>
        </r>
      </text>
    </comment>
    <comment ref="N4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приказом от 05.07.2023 №24 -0,0005</t>
        </r>
      </text>
    </comment>
    <comment ref="L44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волки</t>
        </r>
      </text>
    </comment>
    <comment ref="I4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-99,0</t>
        </r>
      </text>
    </comment>
    <comment ref="L4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590,11802 по приказу с УФ</t>
        </r>
      </text>
    </comment>
    <comment ref="P45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31 тыс. рублей по приказу с 912</t>
        </r>
      </text>
    </comment>
    <comment ref="N5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</t>
        </r>
      </text>
    </comment>
    <comment ref="N50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</t>
        </r>
      </text>
    </comment>
    <comment ref="N5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№745, пляжи в части будущего возмещения расходов ОБ +330,3</t>
        </r>
      </text>
    </comment>
    <comment ref="I51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53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ИЗ НИХ 400 - ПО ПОСТАНОВЛЕНИЮ</t>
        </r>
      </text>
    </comment>
    <comment ref="M535" authorId="0">
      <text>
        <r>
          <rPr>
            <b/>
            <sz val="9"/>
            <color indexed="81"/>
            <rFont val="Tahoma"/>
            <family val="2"/>
            <charset val="204"/>
          </rPr>
          <t>ПОСТАНОВЛЕНИЕ</t>
        </r>
      </text>
    </comment>
    <comment ref="M53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5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58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-6,7786 по приказу</t>
        </r>
      </text>
    </comment>
    <comment ref="I58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N5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05.07.2023 №24</t>
        </r>
      </text>
    </comment>
    <comment ref="M6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M6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L62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3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3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4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4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L64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6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ПОСТАНОВЛЕНИЮ</t>
        </r>
      </text>
    </comment>
    <comment ref="O65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O6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 от 23.09</t>
        </r>
      </text>
    </comment>
    <comment ref="L67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L6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соглашению</t>
        </r>
      </text>
    </comment>
    <comment ref="O71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+4,5 внутр передвижка
+5,5+6,5-12,0 платные услуги</t>
        </r>
      </text>
    </comment>
    <comment ref="H7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1000,0 тыс. рублей модельная библиотека</t>
        </r>
      </text>
    </comment>
    <comment ref="I7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I7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
</t>
        </r>
      </text>
    </comment>
    <comment ref="M8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N8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постановлением от 12.07.2023 №745, дрова +14</t>
        </r>
      </text>
    </comment>
    <comment ref="M82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ПОСТАНОВЛЕНИЕ</t>
        </r>
      </text>
    </comment>
    <comment ref="N82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приказом от 05.07.2023 №24</t>
        </r>
      </text>
    </comment>
    <comment ref="L83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приказу+544,373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N4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  <comment ref="N4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ПО ПРИКАЗУ</t>
        </r>
      </text>
    </comment>
  </commentList>
</comments>
</file>

<file path=xl/sharedStrings.xml><?xml version="1.0" encoding="utf-8"?>
<sst xmlns="http://schemas.openxmlformats.org/spreadsheetml/2006/main" count="15000" uniqueCount="1274">
  <si>
    <t>Приложение 7</t>
  </si>
  <si>
    <t>к решению Вятскополянской</t>
  </si>
  <si>
    <t>районной Думы</t>
  </si>
  <si>
    <t>Наименование кода бюджетной классификации</t>
  </si>
  <si>
    <t>Код бюджетной классификации</t>
  </si>
  <si>
    <t>Сумма (тыс. рублей)</t>
  </si>
  <si>
    <t>ГРБС</t>
  </si>
  <si>
    <t>Целевая статья</t>
  </si>
  <si>
    <t>Всего расходов</t>
  </si>
  <si>
    <t>000</t>
  </si>
  <si>
    <t>00</t>
  </si>
  <si>
    <t>Культура и кинематография</t>
  </si>
  <si>
    <t>08</t>
  </si>
  <si>
    <t>Культура</t>
  </si>
  <si>
    <t>01</t>
  </si>
  <si>
    <t>Подпрограмма "Развитие социальной политики"</t>
  </si>
  <si>
    <t>Осуществление части передаваемых полномочий по решению вопросов местного значения поселения</t>
  </si>
  <si>
    <t>Социальная политика</t>
  </si>
  <si>
    <t>10</t>
  </si>
  <si>
    <t>Социальное обеспечение населения</t>
  </si>
  <si>
    <t>03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</si>
  <si>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</si>
  <si>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903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</si>
  <si>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</si>
  <si>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</si>
  <si>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</si>
  <si>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</si>
  <si>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Другие общегосударственные вопросы</t>
  </si>
  <si>
    <t>13</t>
  </si>
  <si>
    <t>Обеспечение деятельности (оказание услуг) подведомственных учреждений</t>
  </si>
  <si>
    <t>Образование</t>
  </si>
  <si>
    <t>07</t>
  </si>
  <si>
    <t>Дошкольное образование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</si>
  <si>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</si>
  <si>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</si>
  <si>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</si>
  <si>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02</t>
  </si>
  <si>
    <t>Школы начальные, неполные средние и средние</t>
  </si>
  <si>
    <t>Учреждения дополнительного образования детей</t>
  </si>
  <si>
    <t>Иные межбюджетные трансферты их областного бюджета</t>
  </si>
  <si>
    <t>Молодежная политика и оздоровление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</si>
  <si>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</si>
  <si>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оздоровительных учреждениях с дневным пребыванием детей</t>
  </si>
  <si>
    <t>Другие вопросы в области образования</t>
  </si>
  <si>
    <t>09</t>
  </si>
  <si>
    <t>Учебно-методический кабинет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</si>
  <si>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</si>
  <si>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</si>
  <si>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Управление финансов администрации Вятскополянского района Кировской области</t>
  </si>
  <si>
    <t>912</t>
  </si>
  <si>
    <t>Резервные фонды</t>
  </si>
  <si>
    <t>11</t>
  </si>
  <si>
    <t>Подпрограмма "Обеспечение безопасности жизнедеятельности населения"</t>
  </si>
  <si>
    <t>Отдельное мероприятие "Защита населения и территории Вятскополянского района от чрезвычайных ситуаций природного и техногенного характера"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</si>
  <si>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</si>
  <si>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</si>
  <si>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</si>
  <si>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Профессиональная подготовка, переподготовка и повышение квалификации</t>
  </si>
  <si>
    <t>05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</si>
  <si>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</si>
  <si>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</si>
  <si>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Отдельное мероприятие "Управление муниципальным долгом"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</si>
  <si>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</si>
  <si>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</si>
  <si>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</si>
  <si>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</si>
  <si>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Поддержка мер по обеспечению сбалансированности бюджетов</t>
  </si>
  <si>
    <t>Прочие межбюджетные трансферты общего характера</t>
  </si>
  <si>
    <t>Отдельное мероприятие "Развитие строительства, архитектуры и жилищно-коммунального хозяйства"</t>
  </si>
  <si>
    <t>Управление земельно-имущественных отношений администрации Вятскополянского района</t>
  </si>
  <si>
    <t>919</t>
  </si>
  <si>
    <t>Отдельное мероприятие "Повышение эффективности управления земельными ресурсами"</t>
  </si>
  <si>
    <t>Национальная экономика</t>
  </si>
  <si>
    <t>Другие вопросы в области национальной экономики</t>
  </si>
  <si>
    <t>12</t>
  </si>
  <si>
    <t>Муниципальное казенное учреждение администрация Вятскополянского района Кировской области</t>
  </si>
  <si>
    <t>936</t>
  </si>
  <si>
    <t>Осуществление деятельности по опеке и попечительству</t>
  </si>
  <si>
    <t>Отдельное мероприятие "Взаимодействие с общественными объединениями, некоммерческими организациями социально-ориентированного направления"</t>
  </si>
  <si>
    <t>Выполнение других обязательств государства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</si>
  <si>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</si>
  <si>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</si>
  <si>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Единая дежурно-диспетчерская служба</t>
  </si>
  <si>
    <t>Другие вопросы в области национальной безопасности и правоохранительной деятельности</t>
  </si>
  <si>
    <t>Отдельное мероприятие "Профилактика правонарушений и обеспечение общественного порядка"</t>
  </si>
  <si>
    <t>Дорожное хозяйство (дорожные фонды)</t>
  </si>
  <si>
    <t>Отдельное мероприятие "Обеспечение безопасности дорожного движения в Вятскополянском районе"</t>
  </si>
  <si>
    <t>Отдельное мероприятие "Поддержка и развитие малого предпринимательства"</t>
  </si>
  <si>
    <t>Подпрограмма "Энергосбережение и повышение энергетической эффективности Вятскополянского района"</t>
  </si>
  <si>
    <t>Охрана окружающей среды</t>
  </si>
  <si>
    <t>06</t>
  </si>
  <si>
    <t>Сбор, удаление отходов и очистка сточных вод</t>
  </si>
  <si>
    <t>Отдельное мероприятие "Охрана окружающей среды Вятскополянского района"</t>
  </si>
  <si>
    <t>Охрана объектов растительного и животного мира и среды их обитания</t>
  </si>
  <si>
    <t>Отдельное мероприятие "Развитие культуры, художественного творчества, организация досуга и библиотечного обслуживания населения"</t>
  </si>
  <si>
    <t>Пенсионное обеспечение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</si>
  <si>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</si>
  <si>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Физическая культура и спорт</t>
  </si>
  <si>
    <t>Массовый спорт</t>
  </si>
  <si>
    <t>Отдельное мероприятие "Развитие физической культуры и массового спорта"</t>
  </si>
  <si>
    <t>Муниципальное казенное учреждение Дума муниципального образования Вятскополянский муниципальный район Кировской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</si>
  <si>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</si>
  <si>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</si>
  <si>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</si>
  <si>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</si>
  <si>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</si>
  <si>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Муниципальное учреждение контрольно-счетная комиссия муниципального образования Вятскополянский муниципальный район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</si>
  <si>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</si>
  <si>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</si>
  <si>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комиссии муниципального образования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</si>
  <si>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</si>
  <si>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Сельское хозяйство и рыболовство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</si>
  <si>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</si>
  <si>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100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</si>
  <si>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</si>
  <si>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</si>
  <si>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</si>
  <si>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200</t>
  </si>
  <si>
    <t>300</t>
  </si>
  <si>
    <t>500</t>
  </si>
  <si>
    <t>700</t>
  </si>
  <si>
    <t>Осуществление части переданных полномочий по владению, пользованию и распоряжению имуществом, находящимся в муниципальной собственности поселения</t>
  </si>
  <si>
    <t>Отдельное мероприятие "Повышение эффективности использования муниципального имущества"</t>
  </si>
  <si>
    <t>Межбюджетные трансферты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</si>
  <si>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</si>
  <si>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</si>
  <si>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Обслуживание государственного (муниципального долга)</t>
  </si>
  <si>
    <t>Иные межбюджетные трансферты из бюджетов бюджетной системы</t>
  </si>
  <si>
    <t>Содержание единой дежурно-диспетчерской службы</t>
  </si>
  <si>
    <t>Учреждения по обеспечению хозяйственного обслуживания</t>
  </si>
  <si>
    <t>Отдельное мероприятие "Сокращение бюджетных расходов на потребление энергетических ресурсов"</t>
  </si>
  <si>
    <t>Отдельное мероприятие "Реализация молодежной политики"</t>
  </si>
  <si>
    <t>Отдельное мероприятие "Развитие информационного общества и формирование электронного правительства"</t>
  </si>
  <si>
    <t>Отдельное мероприятие "Содействие занятости населения"</t>
  </si>
  <si>
    <t>Распределение</t>
  </si>
  <si>
    <t>Наименование расхода</t>
  </si>
  <si>
    <t>2</t>
  </si>
  <si>
    <t>0000</t>
  </si>
  <si>
    <t>ВСЕГО РАСХОДОВ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</si>
  <si>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</si>
  <si>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</si>
  <si>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</si>
  <si>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</si>
  <si>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</si>
  <si>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</si>
  <si>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</si>
  <si>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</si>
  <si>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</si>
  <si>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</si>
  <si>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</si>
  <si>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</si>
  <si>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</si>
  <si>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</si>
  <si>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</si>
  <si>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0600</t>
  </si>
  <si>
    <t>0602</t>
  </si>
  <si>
    <t>0603</t>
  </si>
  <si>
    <t>0700</t>
  </si>
  <si>
    <t>0701</t>
  </si>
  <si>
    <t>0702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</si>
  <si>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</si>
  <si>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</si>
  <si>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</si>
  <si>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</si>
  <si>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</si>
  <si>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</si>
  <si>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</si>
  <si>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</si>
  <si>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</si>
  <si>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</si>
  <si>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</si>
  <si>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1300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</si>
  <si>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</si>
  <si>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</si>
  <si>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</si>
  <si>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</si>
  <si>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</si>
  <si>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</si>
  <si>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</si>
  <si>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Детские дошкольные учреждения</t>
  </si>
  <si>
    <t xml:space="preserve">                 районной Думы</t>
  </si>
  <si>
    <t>ПЕРЕЧЕНЬ</t>
  </si>
  <si>
    <t>№ п/п</t>
  </si>
  <si>
    <t>Сумма (тыс.рублей)</t>
  </si>
  <si>
    <t>ИТОГО:</t>
  </si>
  <si>
    <t>Наименование поселения</t>
  </si>
  <si>
    <t>Сосновское городское поселение</t>
  </si>
  <si>
    <t>Гремячевское сельское поселение</t>
  </si>
  <si>
    <t>Кулыжское сельское поселение</t>
  </si>
  <si>
    <t>Новобурецкое сельское поселение</t>
  </si>
  <si>
    <t>Омгинское сельское поселение</t>
  </si>
  <si>
    <t>Среднетойменское сельское поселение</t>
  </si>
  <si>
    <t>Среднешунское сельское поселение</t>
  </si>
  <si>
    <t>Усть-Люгинское сельское поселение</t>
  </si>
  <si>
    <t>Чекашевское сельское поселение</t>
  </si>
  <si>
    <t>Итого:</t>
  </si>
  <si>
    <t>Ершовское сельское поселение</t>
  </si>
  <si>
    <t>Старопинигерское сельское поселение</t>
  </si>
  <si>
    <t>Приложение 14</t>
  </si>
  <si>
    <t>Программа</t>
  </si>
  <si>
    <t>Деятельность учреждений культуры и мероприятия в сфере культуры</t>
  </si>
  <si>
    <t>Библиотеки</t>
  </si>
  <si>
    <t>Приложение 9</t>
  </si>
  <si>
    <t>Раздел</t>
  </si>
  <si>
    <t>Подраздел</t>
  </si>
  <si>
    <t>Отдельное мероприятие "Деятельность межпоселенческих учреждений культуры"</t>
  </si>
  <si>
    <t>Реализация прав на получение 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</si>
  <si>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 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</si>
  <si>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Отдельное мероприятие "Повышение результативности предоставления межбюджетных трансфертов бюджетам городских и сельских поселений"</t>
  </si>
  <si>
    <t>Отдельное мероприятие "Меры противодействия немедицинскому потреблению наркотических средств и их незаконному обороту"</t>
  </si>
  <si>
    <t>Глава муниципального образования</t>
  </si>
  <si>
    <t>Иные межбюджетные трансферты из городского бюджета на возмещение затрат по содержанию муницпального архива</t>
  </si>
  <si>
    <t>Осуществление дорожной деятельности в отношении автомобильных дорог общего пользования местного значения</t>
  </si>
  <si>
    <t>400</t>
  </si>
  <si>
    <t>Прочие неналоговые доходы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</si>
  <si>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</si>
  <si>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</si>
  <si>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</si>
  <si>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</si>
  <si>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</si>
  <si>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</si>
  <si>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безвозмездные поступления в бюджеты муниципальных районов</t>
  </si>
  <si>
    <t>Приложение 5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</si>
  <si>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</si>
  <si>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</si>
  <si>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</si>
  <si>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Приложение 6</t>
  </si>
  <si>
    <t xml:space="preserve">
Наименование</t>
  </si>
  <si>
    <t>ИЮНЬ</t>
  </si>
  <si>
    <t>АВГУСТ</t>
  </si>
  <si>
    <t>НАЛОГОВЫЕ И НЕНАЛОГОВЫЕ ДОХОДЫ</t>
  </si>
  <si>
    <t>1000000000</t>
  </si>
  <si>
    <t>НАЛОГИ НА ПРИБЫЛЬ, ДОХОДЫ</t>
  </si>
  <si>
    <t>1010000000</t>
  </si>
  <si>
    <t>Налог на доходы физических лиц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</si>
  <si>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</si>
  <si>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</si>
  <si>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</si>
  <si>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</si>
  <si>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1010201001</t>
  </si>
  <si>
    <t>1010202001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</si>
  <si>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</si>
  <si>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</si>
  <si>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</si>
  <si>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1010204001</t>
  </si>
  <si>
    <t>НАЛОГИ НА ТОВАРЫ (РАБОТЫ, УСЛУГИ), РЕАЛИЗУЕМЫЕ НА ТЕРРИТОРИИ РОССИЙСКОЙ ФЕДЕРАЦИИ</t>
  </si>
  <si>
    <t>1030000000</t>
  </si>
  <si>
    <t>Акцизы по подакцизным товарам (продукции), производимым на территории Российской Федерации</t>
  </si>
  <si>
    <t>1030200001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</si>
  <si>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</si>
  <si>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</si>
  <si>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</si>
  <si>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</t>
  </si>
  <si>
    <t>1030225001</t>
  </si>
  <si>
    <t>НАЛОГИ НА СОВОКУПНЫЙ ДОХОД</t>
  </si>
  <si>
    <t>1050000000</t>
  </si>
  <si>
    <t>Налог, взимаемый в связи с применением упрощенной системы налогообложения</t>
  </si>
  <si>
    <t>1050100000</t>
  </si>
  <si>
    <t>Налог, взимаемый с налогоплательщиков, выбравших в качестве объекта налогообложения  доходы</t>
  </si>
  <si>
    <t>1050101101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</si>
  <si>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</si>
  <si>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</t>
  </si>
  <si>
    <t>Единый сельскохозяйственный налог</t>
  </si>
  <si>
    <t>1050300001</t>
  </si>
  <si>
    <t>1050301001</t>
  </si>
  <si>
    <t>Налог, взимаемый в связи с применением патентной системы налогообложения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</si>
  <si>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</si>
  <si>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</si>
  <si>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1050402002 </t>
  </si>
  <si>
    <t>НАЛОГИ НА ИМУЩЕСТВО</t>
  </si>
  <si>
    <t>1060000000</t>
  </si>
  <si>
    <t>Налог на имущество организаций</t>
  </si>
  <si>
    <t>1060200002</t>
  </si>
  <si>
    <t>Налог на имущество организаций по имуществу, не входящему в Единую систему газоснабжения</t>
  </si>
  <si>
    <t>1060201002</t>
  </si>
  <si>
    <t>ГОСУДАРСТВЕННАЯ ПОШЛИНА</t>
  </si>
  <si>
    <t>1080000000</t>
  </si>
  <si>
    <t>Государственная пошлина по делам, рассматриваемым в судах общей юрисдикции, мировыми судьями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</si>
  <si>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</si>
  <si>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</si>
  <si>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</si>
  <si>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</si>
  <si>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</si>
  <si>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</si>
  <si>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</si>
  <si>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</si>
  <si>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</si>
  <si>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 и автономных учреждений)</t>
  </si>
  <si>
    <t>1110503000</t>
  </si>
  <si>
    <t>1110503505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</si>
  <si>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</si>
  <si>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</si>
  <si>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</si>
  <si>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1110507505</t>
  </si>
  <si>
    <t>ПЛАТЕЖИ ПРИ ПОЛЬЗОВАНИИ ПРИРОДНЫМИ РЕСУРСАМИ</t>
  </si>
  <si>
    <t>1120000000</t>
  </si>
  <si>
    <t>Плата за негативное воздействие на окружающую среду</t>
  </si>
  <si>
    <t>1120100001</t>
  </si>
  <si>
    <t>Плата за выбросы загрязняющих веществ в атмосферный воздух стационарными объектами</t>
  </si>
  <si>
    <t>048</t>
  </si>
  <si>
    <t>1120101001</t>
  </si>
  <si>
    <t>Плата за сбросы загрязняющих веществ в водные объекты</t>
  </si>
  <si>
    <t>1120103001</t>
  </si>
  <si>
    <t>Плата за размещение отходов производства и потребления</t>
  </si>
  <si>
    <t>1120104001</t>
  </si>
  <si>
    <t>ДОХОДЫ ОТ ОКАЗАНИЯ ПЛАТНЫХ УСЛУГ (РАБОТ) И КОМПЕНСАЦИИ ЗАТРАТ ГОСУДАРСТВА</t>
  </si>
  <si>
    <t>1130000000</t>
  </si>
  <si>
    <t xml:space="preserve">Доходы от оказания платных услуг (работ) </t>
  </si>
  <si>
    <t>1130100000</t>
  </si>
  <si>
    <t>130</t>
  </si>
  <si>
    <t>1130199000</t>
  </si>
  <si>
    <t>Доходы от компенсации затрат государства</t>
  </si>
  <si>
    <t>1130200000</t>
  </si>
  <si>
    <t>1130206000</t>
  </si>
  <si>
    <t>1140000000</t>
  </si>
  <si>
    <t>1140200000</t>
  </si>
  <si>
    <t>1140205005</t>
  </si>
  <si>
    <t>410</t>
  </si>
  <si>
    <t>1140205305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</si>
  <si>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</si>
  <si>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</si>
  <si>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</si>
  <si>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</si>
  <si>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1160000000</t>
  </si>
  <si>
    <t>Денежные взыскания (штрафы) за нарушение законодательства о налогах и сборах</t>
  </si>
  <si>
    <t>1160300000</t>
  </si>
  <si>
    <t>140</t>
  </si>
  <si>
    <t>1160301001</t>
  </si>
  <si>
    <t>Денежные взыскания (штрафы) за нарушение законодательства в области охраны окружающей среды</t>
  </si>
  <si>
    <t>Прочие поступления от денежных взысканий (штрафов) и иных сумм в возмещение ущерба</t>
  </si>
  <si>
    <t>БЕЗВОЗМЕЗДНЫЕ ПОСТУПЛЕНИЯ</t>
  </si>
  <si>
    <t xml:space="preserve">2 00 00000 00 </t>
  </si>
  <si>
    <t>БЕЗВОЗМЕЗДНЫЕ ПОСТУПЛЕНИЯ ОТ ДРУГИХ БЮДЖЕТОВ БЮДЖЕТНОЙ СИСТЕМЫ РОССИЙСКОЙ ФЕДЕРАЦИИ</t>
  </si>
  <si>
    <t xml:space="preserve">2 02 00000 00 </t>
  </si>
  <si>
    <t>151</t>
  </si>
  <si>
    <t xml:space="preserve">0000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</si>
  <si>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</si>
  <si>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</si>
  <si>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</si>
  <si>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</si>
  <si>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</si>
  <si>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осуществлению деятельности по опеке и попечительству</t>
  </si>
  <si>
    <t>субвенции бюджетам муниципальных районов для финансового обеспечения осуществления органами местного самоуправления отдельных государственных полномочий области по поддержке сельскохозяйственного производства УПРАВЛЕНЧЕСКИЕ ФУНКЦИИ</t>
  </si>
  <si>
    <t>Субвенция на получение общедоступного и бесплатного дошкольного образования в МОО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</si>
  <si>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</si>
  <si>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</si>
  <si>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</si>
  <si>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БЕЗВОЗМЕЗДНЫЕ ПОСТУПЛЕНИЯ</t>
  </si>
  <si>
    <t xml:space="preserve">2 07 00000 00 </t>
  </si>
  <si>
    <t xml:space="preserve">2 07 05000 05 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</si>
  <si>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</si>
  <si>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Жилищно-коммунальное хозяйство</t>
  </si>
  <si>
    <t>Коммунальное хозяйство</t>
  </si>
  <si>
    <t>Развитие газификации муниципальных образований области</t>
  </si>
  <si>
    <t>Муниципальный архив Вятскополянского района</t>
  </si>
  <si>
    <t>Слудское сельское поселение</t>
  </si>
  <si>
    <t>1110502505</t>
  </si>
  <si>
    <t>1050101001</t>
  </si>
  <si>
    <t>1050102001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</si>
  <si>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</si>
  <si>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</si>
  <si>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</si>
  <si>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Краснополянское городское поселение</t>
  </si>
  <si>
    <t>Плановый период</t>
  </si>
  <si>
    <t>Осуществление части передаваемых полномочий по организации библиотечного обслуживания</t>
  </si>
  <si>
    <t>00000 00000</t>
  </si>
  <si>
    <t>01000 00000</t>
  </si>
  <si>
    <t>01000 04000</t>
  </si>
  <si>
    <t>01000 04100</t>
  </si>
  <si>
    <t>01000 04050</t>
  </si>
  <si>
    <t>01000 02000</t>
  </si>
  <si>
    <t>01000 02300</t>
  </si>
  <si>
    <t>01000 17000</t>
  </si>
  <si>
    <t>01000 17140</t>
  </si>
  <si>
    <t>01000 01310</t>
  </si>
  <si>
    <t>01000 01000</t>
  </si>
  <si>
    <t>01000 03000</t>
  </si>
  <si>
    <t>01000 03340</t>
  </si>
  <si>
    <t>01000 06000</t>
  </si>
  <si>
    <t>01000 17010</t>
  </si>
  <si>
    <t>05000 00000</t>
  </si>
  <si>
    <t>05100 00000</t>
  </si>
  <si>
    <t>05100 71000</t>
  </si>
  <si>
    <t>01000 15000</t>
  </si>
  <si>
    <t>01000 15060</t>
  </si>
  <si>
    <t>01000 04060</t>
  </si>
  <si>
    <t>01000 16000</t>
  </si>
  <si>
    <t>01000 16130</t>
  </si>
  <si>
    <t>01000 16140</t>
  </si>
  <si>
    <t>02000 00000</t>
  </si>
  <si>
    <t>02000 40000</t>
  </si>
  <si>
    <t>02000 40100</t>
  </si>
  <si>
    <t>02000 18000</t>
  </si>
  <si>
    <t>02000 18110</t>
  </si>
  <si>
    <t>05300 00000</t>
  </si>
  <si>
    <t>05300 81000</t>
  </si>
  <si>
    <t>02000 16000</t>
  </si>
  <si>
    <t>02000 16050</t>
  </si>
  <si>
    <t>02000 51180</t>
  </si>
  <si>
    <t>02000 15000</t>
  </si>
  <si>
    <t>02000 42000</t>
  </si>
  <si>
    <t>02000 16030</t>
  </si>
  <si>
    <t>02000 41000</t>
  </si>
  <si>
    <t>02000 41020</t>
  </si>
  <si>
    <t>05000 90000</t>
  </si>
  <si>
    <t>03000 00000</t>
  </si>
  <si>
    <t>03000 18000</t>
  </si>
  <si>
    <t>03000 18110</t>
  </si>
  <si>
    <t>03000 20000</t>
  </si>
  <si>
    <t>03000 20100</t>
  </si>
  <si>
    <t>03000 18010</t>
  </si>
  <si>
    <t>03000 20050</t>
  </si>
  <si>
    <t>03000 21000</t>
  </si>
  <si>
    <t>03000 22000</t>
  </si>
  <si>
    <t>05000 15000</t>
  </si>
  <si>
    <t>05000 15230</t>
  </si>
  <si>
    <t>05000 16000</t>
  </si>
  <si>
    <t>05000 16040</t>
  </si>
  <si>
    <t>05000 16060</t>
  </si>
  <si>
    <t>05000 18000</t>
  </si>
  <si>
    <t>05000 18110</t>
  </si>
  <si>
    <t>05000 85000</t>
  </si>
  <si>
    <t>05000 85100</t>
  </si>
  <si>
    <t>05000 86000</t>
  </si>
  <si>
    <t>05000 92000</t>
  </si>
  <si>
    <t>05000 12000</t>
  </si>
  <si>
    <t>05000 16010</t>
  </si>
  <si>
    <t>05000 16050</t>
  </si>
  <si>
    <t>05000 85050</t>
  </si>
  <si>
    <t>05000 85070</t>
  </si>
  <si>
    <t>05000 85200</t>
  </si>
  <si>
    <t>05000 85300</t>
  </si>
  <si>
    <t>05000 91000</t>
  </si>
  <si>
    <t>05200 00000</t>
  </si>
  <si>
    <t>05200 79000</t>
  </si>
  <si>
    <t>05000 18050</t>
  </si>
  <si>
    <t>05000 85210</t>
  </si>
  <si>
    <t>05200 72000</t>
  </si>
  <si>
    <t>05300 15000</t>
  </si>
  <si>
    <t>05300 15080</t>
  </si>
  <si>
    <t>05300 83000</t>
  </si>
  <si>
    <t>05100 70000</t>
  </si>
  <si>
    <t>05400 00000</t>
  </si>
  <si>
    <t>05400 84000</t>
  </si>
  <si>
    <t>05300 80000</t>
  </si>
  <si>
    <t>05200 73000</t>
  </si>
  <si>
    <t>05200 74000</t>
  </si>
  <si>
    <t>05200 18000</t>
  </si>
  <si>
    <t>05200 18410</t>
  </si>
  <si>
    <t>05200 77000</t>
  </si>
  <si>
    <t>05200 78000</t>
  </si>
  <si>
    <t>05200 78400</t>
  </si>
  <si>
    <t>05200 78410</t>
  </si>
  <si>
    <t>05000 88000</t>
  </si>
  <si>
    <t>05200 16000</t>
  </si>
  <si>
    <t>05200 16120</t>
  </si>
  <si>
    <t>05000 16080</t>
  </si>
  <si>
    <t>05000 16090</t>
  </si>
  <si>
    <t>05200 76000</t>
  </si>
  <si>
    <t>99900 00000</t>
  </si>
  <si>
    <t>99900 00070</t>
  </si>
  <si>
    <t>05000 16094</t>
  </si>
  <si>
    <t>Расходы по администрированию</t>
  </si>
  <si>
    <t>02000 15170</t>
  </si>
  <si>
    <t>Инвестиционные программы и проекты развития общественной инфраструктуры муниципальных образований в Кировской области</t>
  </si>
  <si>
    <t>архив</t>
  </si>
  <si>
    <t>01000 0230А</t>
  </si>
  <si>
    <t>01000 0230Б</t>
  </si>
  <si>
    <t>05300 S5080</t>
  </si>
  <si>
    <t>Капитальные вложения в объекты недвижимого имущества государственной (муниципальной) собственности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</si>
  <si>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</si>
  <si>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1110501313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</si>
  <si>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</si>
  <si>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</si>
  <si>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в т.ч. Администрация</t>
  </si>
  <si>
    <t>библиотека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</si>
  <si>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</si>
  <si>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</si>
  <si>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</si>
  <si>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1140601313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</si>
  <si>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</si>
  <si>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</si>
  <si>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710</t>
  </si>
  <si>
    <t xml:space="preserve">Прочие  субсидии  </t>
  </si>
  <si>
    <t>Субсидия на софинансирование инвестиционных программ и проектов развития общественной инфраструктуры МО</t>
  </si>
  <si>
    <t>Субвенции бюджетам на составление (изменение) списков кандидатов в присяжные заседателифедеральных судов общей юрисдикциив Российской Федерации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</si>
  <si>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</si>
  <si>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</si>
  <si>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Межбюджетные трансферты, передаваемые бюджетам муниципальных образований из бюджетов поселений на осуществление части полномочий по решению вопросов местного значения в соответствии заключенными соглашениями</t>
  </si>
  <si>
    <t xml:space="preserve">Прочие межбюджетные трансферты, передаваемые бюджетам </t>
  </si>
  <si>
    <t>600</t>
  </si>
  <si>
    <t>01000 S5060</t>
  </si>
  <si>
    <t>Ведомственная структура</t>
  </si>
  <si>
    <t>05200 75000</t>
  </si>
  <si>
    <t>05200 93000</t>
  </si>
  <si>
    <t>04000 00000</t>
  </si>
  <si>
    <t>04000 16000</t>
  </si>
  <si>
    <t>04000 16020</t>
  </si>
  <si>
    <t>04000 16070</t>
  </si>
  <si>
    <t>04000 16160</t>
  </si>
  <si>
    <t>04000 15000</t>
  </si>
  <si>
    <t>04000 15110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</si>
  <si>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</si>
  <si>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Приложение 16</t>
  </si>
  <si>
    <t>05200 15000</t>
  </si>
  <si>
    <t>05200 15170</t>
  </si>
  <si>
    <t>Защита населения от болезней, общих для человека и животных, в части организации и содержания скотомогильников (биотермических ям), 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</si>
  <si>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01000 0131А</t>
  </si>
  <si>
    <t>ДК</t>
  </si>
  <si>
    <t>365</t>
  </si>
  <si>
    <t>529</t>
  </si>
  <si>
    <t>2003</t>
  </si>
  <si>
    <t>1162500000</t>
  </si>
  <si>
    <t>1162505001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</si>
  <si>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</si>
  <si>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 т.ч. РЦБС</t>
  </si>
  <si>
    <t>Дополнительное образование детей</t>
  </si>
  <si>
    <t>05100 29000</t>
  </si>
  <si>
    <t>Транспорт</t>
  </si>
  <si>
    <t>Отдельное мероприятие "Развитие пассажирских перевозок  на территории Вятскополянского района"</t>
  </si>
  <si>
    <t>02000 41010</t>
  </si>
  <si>
    <t>02000 41040</t>
  </si>
  <si>
    <t>01000 0334А</t>
  </si>
  <si>
    <t>05000 8520А</t>
  </si>
  <si>
    <t>05000 8530А</t>
  </si>
  <si>
    <t>05200 7841А</t>
  </si>
  <si>
    <t>01000 0334Б</t>
  </si>
  <si>
    <t xml:space="preserve">2 02 10000 00 </t>
  </si>
  <si>
    <t xml:space="preserve">2 02 15001 00 </t>
  </si>
  <si>
    <t xml:space="preserve">2 02 20000 00 </t>
  </si>
  <si>
    <t xml:space="preserve">2 02 29999 00 </t>
  </si>
  <si>
    <t xml:space="preserve">2 02 30000 00 </t>
  </si>
  <si>
    <t xml:space="preserve">2 02 30024 00 </t>
  </si>
  <si>
    <t>2 02 30024 00</t>
  </si>
  <si>
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меры социальной поддержки</t>
  </si>
  <si>
    <t>Субвенция на выполнение государственных полномочий Кировской области по расчету и предоставлению дотаций бюджетам поселений</t>
  </si>
  <si>
    <t>Субвенции бюджетам муниципальных районов  на выполнение отдельных государственных полномочий по созданию и деятельности в муниципальных образованиях административной(ых) комиссии(ий)</t>
  </si>
  <si>
    <t>Субвенции бюджетам муниципальных районов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</si>
  <si>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местным бюджетам из областного бюджета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</si>
  <si>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субвенций бюджетам муниципальных районов на осуществление отдельных государственных полномочий по хранению и комплектованию муниципальных архивов документами Архивного фонда РФ;  оказанию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муниципальный архивах</t>
  </si>
  <si>
    <t>Субвенция на мероприятия по предупреждению и ликвидации болезней животных, проведения отлова, учета, содержания и использования безнадзорных домашних животных на территории муниципальных районов</t>
  </si>
  <si>
    <t>Субвенция на осуществление отдельных государственных полномочий по защите населения от болезней, общих для человека и животных, в части организации и содержания скотомогильников</t>
  </si>
  <si>
    <t xml:space="preserve">2 02 30027 00 </t>
  </si>
  <si>
    <t xml:space="preserve">2 02 30029 00 </t>
  </si>
  <si>
    <t>Субвенции бюджетам на составление (изменение) списков кандидатов в присяжные заседатели федеральных судов общей юрисдикциив Российской Федерации</t>
  </si>
  <si>
    <t>2 02 35007 00</t>
  </si>
  <si>
    <t>2 02 35082 00</t>
  </si>
  <si>
    <t xml:space="preserve">2 02 35118 00 </t>
  </si>
  <si>
    <t>2 02 35543 00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</si>
  <si>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</si>
  <si>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2 02 35544 00</t>
  </si>
  <si>
    <t>2 02 39999 00</t>
  </si>
  <si>
    <t xml:space="preserve">2 02 39999 00 </t>
  </si>
  <si>
    <t>Субвенция на получение общедоступного и бесплатного дошкольного, начального общего, основного общего, среднего общего и дополнительного образовпния в МООО</t>
  </si>
  <si>
    <t xml:space="preserve">2 02 40000 00 </t>
  </si>
  <si>
    <t xml:space="preserve">2 02 40014 00 </t>
  </si>
  <si>
    <t xml:space="preserve">2 02 49999 00 </t>
  </si>
  <si>
    <t>2 02 49999 00</t>
  </si>
  <si>
    <t>02000 98000</t>
  </si>
  <si>
    <t>Условно утверждаемые расходы</t>
  </si>
  <si>
    <t>архив возмещение</t>
  </si>
  <si>
    <t>Иные межбюджетные трансферты из городского бюджета на возмещение затрат по содержанию муниципального архива</t>
  </si>
  <si>
    <t>Бюджетная классификация</t>
  </si>
  <si>
    <t>3</t>
  </si>
  <si>
    <t xml:space="preserve">Отдельное мероприятие "Управление образованием в Вятскополянском районе" </t>
  </si>
  <si>
    <t xml:space="preserve">Отдельное мероприятие "Дошкольное образование" в Вятскополянском районе </t>
  </si>
  <si>
    <t xml:space="preserve">Отдельное мероприятие "Общее образование в Вятскополянском районе" </t>
  </si>
  <si>
    <t xml:space="preserve">Отдельное мероприятие "Дополнительное образование в Вятскополянском районе" </t>
  </si>
  <si>
    <t xml:space="preserve">Отдельное мероприятие "Организация деятельности администрации Вятскополянского района" </t>
  </si>
  <si>
    <t xml:space="preserve">Отдельное мероприятие "Развитие муниципальной службы в администрации Вятскополянского района" </t>
  </si>
  <si>
    <t xml:space="preserve">Отдельное мероприятие "Информатизация администрации Вятскополянского района" </t>
  </si>
  <si>
    <t xml:space="preserve">Отдельное мероприятие "Предоставление мер социальной поддержки отдельным категориям граждан Вятскополянского района" </t>
  </si>
  <si>
    <t>Отдельное мероприятие "Обеспечение деятельности управления земельно-имущественных отношений администрации Вятскополянского района"</t>
  </si>
  <si>
    <t>Отдельное мероприятие "Общее образование в Вятскополянском районе"</t>
  </si>
  <si>
    <t>Отдельное мероприятие "Дополнительное образование в Вятскополянском районе"</t>
  </si>
  <si>
    <t>Отдельное мероприятие "Управление образованием в Вятскополянском районе"</t>
  </si>
  <si>
    <t>Отдельное мероприятие "Организация деятельности администрации Вятскополянского района"</t>
  </si>
  <si>
    <t>Отдельное мероприятие "Развитие муниципальной службы в администрации Вятскополянского района"</t>
  </si>
  <si>
    <t>Отдельное мероприятие "Предоставление мер социальной поддержки отдельным категориям граждан Вятскополянского района"</t>
  </si>
  <si>
    <t>Отдельное мероприятие "Информатизация администрации Вятскополянского района"</t>
  </si>
  <si>
    <t>02000 09602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</si>
  <si>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</si>
  <si>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Жилищное хозяйство</t>
  </si>
  <si>
    <t>2 02 20216 00</t>
  </si>
  <si>
    <t>Наименование расходов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</si>
  <si>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</si>
  <si>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</si>
  <si>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решению Вятскополянской </t>
  </si>
  <si>
    <t>к решению Вятскополянской  районной думы</t>
  </si>
  <si>
    <t>к решению Вятскополянской районной Думы</t>
  </si>
  <si>
    <t xml:space="preserve">к решению Вятскополянской районной Думы </t>
  </si>
  <si>
    <t xml:space="preserve">2 02 20302 00 </t>
  </si>
  <si>
    <t>2 02 20302 00</t>
  </si>
  <si>
    <t>1 16 00000 00</t>
  </si>
  <si>
    <t>1 14 06010 00</t>
  </si>
  <si>
    <t>1 14 06000 00</t>
  </si>
  <si>
    <t>1 14 02000 00</t>
  </si>
  <si>
    <t>1 14 00000 00</t>
  </si>
  <si>
    <t>1 13 02060 00</t>
  </si>
  <si>
    <t>1 13 02000 00</t>
  </si>
  <si>
    <t>1 13 01990 00</t>
  </si>
  <si>
    <t>1 13 00000 00</t>
  </si>
  <si>
    <t>1 13 01000 00</t>
  </si>
  <si>
    <t>1 12 01010 01</t>
  </si>
  <si>
    <t>1 12 01030 01</t>
  </si>
  <si>
    <t>1 12 01000 01</t>
  </si>
  <si>
    <t>1 12 00000 00</t>
  </si>
  <si>
    <t>1 11 05070 00</t>
  </si>
  <si>
    <t>1 11 05030 00</t>
  </si>
  <si>
    <t>1 11 05020 00</t>
  </si>
  <si>
    <t>1 11 05010 00</t>
  </si>
  <si>
    <t>1 11 05000 00</t>
  </si>
  <si>
    <t>1 11 00000 00</t>
  </si>
  <si>
    <t>1 08 03010 01</t>
  </si>
  <si>
    <t>1 08 03000 01</t>
  </si>
  <si>
    <t>1 08 00000 00</t>
  </si>
  <si>
    <t>1 06 02010 02</t>
  </si>
  <si>
    <t>1 06 02000 02</t>
  </si>
  <si>
    <t>1 06 00000 00</t>
  </si>
  <si>
    <t xml:space="preserve">1 05 04020 02 </t>
  </si>
  <si>
    <t>1 05 04000 02</t>
  </si>
  <si>
    <t>1 05 03000 01</t>
  </si>
  <si>
    <t>1 05 01020 01</t>
  </si>
  <si>
    <t>1 05 01010 01</t>
  </si>
  <si>
    <t>1 05 01000 00</t>
  </si>
  <si>
    <t>1 05 00000 00</t>
  </si>
  <si>
    <t>1 03 02250 01</t>
  </si>
  <si>
    <t>1 03 02240 01</t>
  </si>
  <si>
    <t>1 03 02230 01</t>
  </si>
  <si>
    <t>1 03 02000 01</t>
  </si>
  <si>
    <t>1 03 00000 00</t>
  </si>
  <si>
    <t>1 01 02030 01</t>
  </si>
  <si>
    <t>1 01 02020 01</t>
  </si>
  <si>
    <t>1 01 02010 01</t>
  </si>
  <si>
    <t>1 01 02000 01</t>
  </si>
  <si>
    <t>1 01 00000 00</t>
  </si>
  <si>
    <t>1 00 00000 00</t>
  </si>
  <si>
    <t>1 05 01011 01</t>
  </si>
  <si>
    <t>1 05 01021 01</t>
  </si>
  <si>
    <t>1 11 05013 13</t>
  </si>
  <si>
    <t>1 11 05025 05</t>
  </si>
  <si>
    <t>1 11 05035 05</t>
  </si>
  <si>
    <t>1 11 05075 05</t>
  </si>
  <si>
    <t>1 14 02053 05</t>
  </si>
  <si>
    <t>1 14 06013 13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</si>
  <si>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</si>
  <si>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</si>
  <si>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 R5550</t>
  </si>
  <si>
    <t>Мероприятия по формированию современной городской среды</t>
  </si>
  <si>
    <t>Благоустройство</t>
  </si>
  <si>
    <t>02000 R5600</t>
  </si>
  <si>
    <t>Другие вопросы в области жилищно-коммунального хозяйства</t>
  </si>
  <si>
    <t>01000 17180</t>
  </si>
  <si>
    <t>Государственная поддержка муниципальных общеобразовательных организаций, обеспечивающих высокое качество образования</t>
  </si>
  <si>
    <t>05000 51200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</si>
  <si>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</si>
  <si>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</si>
  <si>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02000 R0270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</si>
  <si>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</si>
  <si>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</si>
  <si>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05200 7840А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</si>
  <si>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</si>
  <si>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</t>
  </si>
  <si>
    <t>1 030 2260 01</t>
  </si>
  <si>
    <t>1 11 05013 05</t>
  </si>
  <si>
    <t>1 14 06013 05</t>
  </si>
  <si>
    <t>1110501305</t>
  </si>
  <si>
    <t>1140601305</t>
  </si>
  <si>
    <t>2 02 35120 00</t>
  </si>
  <si>
    <t>2 02 25027 00</t>
  </si>
  <si>
    <t>2 02 25097 00</t>
  </si>
  <si>
    <t>СХО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</si>
  <si>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</si>
  <si>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Субсидия бюджетам на создание в общеобразовательных организациях, расположенных в сельской месности, условий для занятий физической культурой и спортом</t>
  </si>
  <si>
    <t>Прочие субвенции</t>
  </si>
  <si>
    <t xml:space="preserve">Прочие субвенции </t>
  </si>
  <si>
    <t>Обустройство мест массового отдыха населения (городских парков)</t>
  </si>
  <si>
    <t>05000 N0820</t>
  </si>
  <si>
    <t>04000 N4330</t>
  </si>
  <si>
    <t>04000 R4330</t>
  </si>
  <si>
    <t>010Е2 50970</t>
  </si>
  <si>
    <t>05000 85220</t>
  </si>
  <si>
    <t>Учреждения по обеспечению хозяйственного обслуживания (культура)</t>
  </si>
  <si>
    <t>2021 год</t>
  </si>
  <si>
    <t>Реализация Государственной программы Кировской области "Развитие физической культуры и спорта"</t>
  </si>
  <si>
    <t>052Р5 54950</t>
  </si>
  <si>
    <t>076</t>
  </si>
  <si>
    <t>141</t>
  </si>
  <si>
    <t>Межбюджетные трансферты,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</si>
  <si>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2 02 45433 00</t>
  </si>
  <si>
    <t>1 12 01041 01</t>
  </si>
  <si>
    <t>Субсидия бюджетам муниципальных районов на поддержку отрасли культуры</t>
  </si>
  <si>
    <t>Подпрограмма "Развитие экономического потенциала"</t>
  </si>
  <si>
    <t>1 05 03010 01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</si>
  <si>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</si>
  <si>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</si>
  <si>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 xml:space="preserve">Субвенции бюджетам субъектов Российской Федерации и муниципальных образований 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</si>
  <si>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</si>
  <si>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</si>
  <si>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Субсидии бюджетам субъектов Российской Федерации и муниципальных образований (межбюджетные субсидии)</t>
  </si>
  <si>
    <t>Отдельное мероприятие "Организация деятельности управления финансов"</t>
  </si>
  <si>
    <t>управление образования администрации Вятскополянского района Кировской области</t>
  </si>
  <si>
    <t>02000 15530</t>
  </si>
  <si>
    <t>Повышение оплаты труда аботникам муниципальных учреждений и органов местного самоуправления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</si>
  <si>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</si>
  <si>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150</t>
  </si>
  <si>
    <t>04000 N5020</t>
  </si>
  <si>
    <t>05000 15560</t>
  </si>
  <si>
    <t>05000 S5560</t>
  </si>
  <si>
    <t>2022 год</t>
  </si>
  <si>
    <t>Возмещение части процентной ставки по долгосрочным, среднесрочным и краткосрочным кредитам взятым малыми формами хозяйствования</t>
  </si>
  <si>
    <t>05200 L4970</t>
  </si>
  <si>
    <t>Реализация мероприятий по обеспечению жильем молодых семей</t>
  </si>
  <si>
    <t>052Р5 52280</t>
  </si>
  <si>
    <t>Оснащение объектов спортивной инфраструктуры спортивно-технологическим оборудованием</t>
  </si>
  <si>
    <t>05300 15550</t>
  </si>
  <si>
    <t>Наименование</t>
  </si>
  <si>
    <t>АПРЕЛЬ</t>
  </si>
  <si>
    <t>Сумма                  (тыс. рублей)</t>
  </si>
  <si>
    <t>ВСЕГО ДОХОДОВ</t>
  </si>
  <si>
    <t>0 00 00000 00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</si>
  <si>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</si>
  <si>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</si>
  <si>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</si>
  <si>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</si>
  <si>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</si>
  <si>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</si>
  <si>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</si>
  <si>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</t>
  </si>
  <si>
    <t>1 12 01040 01</t>
  </si>
  <si>
    <t>служба хозобеспечения</t>
  </si>
  <si>
    <t xml:space="preserve">в т.ч. </t>
  </si>
  <si>
    <t>Администрация</t>
  </si>
  <si>
    <t>1 16 07000 00</t>
  </si>
  <si>
    <t>Субсидии бюджетам на реализацию мероприятий по обеспечению жильем молодых семей</t>
  </si>
  <si>
    <t xml:space="preserve">2 02 25497 00 </t>
  </si>
  <si>
    <t xml:space="preserve">2 02 25519 00 </t>
  </si>
  <si>
    <t>Субсидия на повышение уровня подготовки лиц, замещающих муниципальные должности по основным вопросам</t>
  </si>
  <si>
    <t xml:space="preserve"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</t>
  </si>
  <si>
    <t>Субсидия на поддержку малого и среднего предпринимательства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</si>
  <si>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</si>
  <si>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 xml:space="preserve">Субсидия местным бюджетам из областного бюджета на создание мест (площадок) накопления твердых коммунальных отходов </t>
  </si>
  <si>
    <r>
      <t>Субвенций бюджетам муниципальных районов на выполнение отдельных государственных полномочий по возмещению расходов, связанных с предоставлением р</t>
    </r>
    <r>
      <rPr>
        <b/>
        <i/>
        <sz val="12"/>
        <rFont val="Times New Roman"/>
        <family val="1"/>
        <charset val="204"/>
      </rPr>
      <t xml:space="preserve">уководителям, педагогическим работникам и иным специалистам муниципальных образовательных учреждений </t>
    </r>
    <r>
      <rPr>
        <i/>
        <sz val="12"/>
        <rFont val="Times New Roman"/>
        <family val="1"/>
        <charset val="204"/>
      </rPr>
      <t>(за исключением совместителей), меры социальной поддержки</t>
    </r>
  </si>
  <si>
    <r>
      <t xml:space="preserve">Субвенции местным бюджетам из областного бюджета на выполнение отдельных государственных полномочий по </t>
    </r>
    <r>
      <rPr>
        <b/>
        <i/>
        <sz val="12"/>
        <rFont val="Times New Roman"/>
        <family val="1"/>
        <charset val="204"/>
      </rPr>
      <t>выплате отдельным категориям специалистов, работающих в муниципальных учреждениях и проживающих в сельских населенных пунктах</t>
    </r>
    <r>
      <rPr>
        <i/>
        <sz val="12"/>
        <rFont val="Times New Roman"/>
        <family val="1"/>
        <charset val="204"/>
      </rPr>
      <t xml:space="preserve">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  </r>
  </si>
  <si>
    <r>
      <t xml:space="preserve">Субвенции бюджетам муниципальных районов  на выполнение отдельных  государственных полномочий по созданию и деятельности в муниципальных образованиях </t>
    </r>
    <r>
      <rPr>
        <b/>
        <i/>
        <sz val="12"/>
        <rFont val="Times New Roman"/>
        <family val="1"/>
        <charset val="204"/>
      </rPr>
      <t>административной(ых) комиссии(ий)</t>
    </r>
  </si>
  <si>
    <r>
      <t xml:space="preserve">Субвенции бюджетам муниципальных районов на выполнение отдельных государственных полномочий по осуществлению деятельности </t>
    </r>
    <r>
      <rPr>
        <b/>
        <i/>
        <sz val="12"/>
        <rFont val="Times New Roman"/>
        <family val="1"/>
        <charset val="204"/>
      </rPr>
      <t>по опеке и попечительству</t>
    </r>
  </si>
  <si>
    <r>
      <t>Субвенция на мероприятия по предупреждению и ликвидации болезней животных,</t>
    </r>
    <r>
      <rPr>
        <b/>
        <i/>
        <sz val="12"/>
        <rFont val="Times New Roman"/>
        <family val="1"/>
        <charset val="204"/>
      </rPr>
      <t xml:space="preserve"> проведения отлова</t>
    </r>
    <r>
      <rPr>
        <i/>
        <sz val="12"/>
        <rFont val="Times New Roman"/>
        <family val="1"/>
        <charset val="204"/>
      </rPr>
      <t>, учета, содержания и использования безнадзорных домашних животных на территории муниципальных районов</t>
    </r>
  </si>
  <si>
    <t>Прочие субвенции передаваемые бюджетам муниципальных районов на возмещение части затрат на уплату процентов по инвестиционным кредитам (займам) в агропромышленном комплексе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</si>
  <si>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</si>
  <si>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</si>
  <si>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</si>
  <si>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000 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</si>
  <si>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</si>
  <si>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2 18 60000 00</t>
  </si>
  <si>
    <t>2 18 60010 00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</si>
  <si>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</si>
  <si>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2 19 00000 00 </t>
  </si>
  <si>
    <t xml:space="preserve"> 150</t>
  </si>
  <si>
    <t xml:space="preserve">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</si>
  <si>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</si>
  <si>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</si>
  <si>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2 19 35120 00</t>
  </si>
  <si>
    <t xml:space="preserve">2 19 35120 00 </t>
  </si>
  <si>
    <t>2 19 60010 00</t>
  </si>
  <si>
    <t>0000000000</t>
  </si>
  <si>
    <t>1030223101</t>
  </si>
  <si>
    <t>1030224101</t>
  </si>
  <si>
    <t>1030225101</t>
  </si>
  <si>
    <t>1030226101</t>
  </si>
  <si>
    <t>1120104101</t>
  </si>
  <si>
    <t>Вид долговых обязательств</t>
  </si>
  <si>
    <t>Предельный срок погашения долговых обязательств, возникающих при осуществлении заимствований</t>
  </si>
  <si>
    <t xml:space="preserve">Кредиты кредитных организаций </t>
  </si>
  <si>
    <t>Бюджетные кредиты от других 
бюджетов бюджетной системы Российской Федерации</t>
  </si>
  <si>
    <t xml:space="preserve"> не позднее 
25 ноября текущего финансового  года</t>
  </si>
  <si>
    <t>в том числе:</t>
  </si>
  <si>
    <t>Бюджетные кредиты от других бюджетов бюджетной системы Российской Федерации</t>
  </si>
  <si>
    <t>муниципальных внутренних заимствований Вятскополянского района</t>
  </si>
  <si>
    <t>до 3 лет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</si>
  <si>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бюджету Вятскополянского района другими бюджетами бюджетной системы Российской Федерации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</si>
  <si>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</si>
  <si>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Объем привлечения средств в бюджет Вятскополянского района, тыс. рублей</t>
  </si>
  <si>
    <t>Объем погашения долговых обязательств, тыс. рублей</t>
  </si>
  <si>
    <t>Муниципальная программа Вятскополянского района "Развитие образования"</t>
  </si>
  <si>
    <t>Муниципальная программа Вятскополянского района "Создание условий, способствующих развитию района"</t>
  </si>
  <si>
    <t>Муниципальная программа "Управление муниципальными финансами и регулирование межбюджетных отношений"</t>
  </si>
  <si>
    <t>Муниципальная программа "Управление муниципальным имуществом"</t>
  </si>
  <si>
    <t>Муниципальная программа Вятскополянского района "Развитие агропромышленного комплекса"</t>
  </si>
  <si>
    <t>Отдельное мероприятие "Дошкольное образование в Вятскополянском районе"</t>
  </si>
  <si>
    <t>Приложение 15</t>
  </si>
  <si>
    <t>05000 85010</t>
  </si>
  <si>
    <t>99900 10000</t>
  </si>
  <si>
    <t>99900 10040</t>
  </si>
  <si>
    <t>99900 10100</t>
  </si>
  <si>
    <t>99900 10070</t>
  </si>
  <si>
    <t>99900 10020</t>
  </si>
  <si>
    <t>Выполнение управленческих функций в рамках непрограммных расходов</t>
  </si>
  <si>
    <t>Приложение 17</t>
  </si>
  <si>
    <t>Реализация мероприятий национального проекта "Демография"</t>
  </si>
  <si>
    <t>Федеральный проект "Спорт – норма жизни"</t>
  </si>
  <si>
    <t>052Р0 00000</t>
  </si>
  <si>
    <t>052Р5 00000</t>
  </si>
  <si>
    <t>010Е0 00000</t>
  </si>
  <si>
    <t>010Е2 00000</t>
  </si>
  <si>
    <t>Федеральный проект "Успех каждого ребенка"</t>
  </si>
  <si>
    <t>Реализация мероприятий национального проекта "Образование"</t>
  </si>
  <si>
    <t>02000 15560</t>
  </si>
  <si>
    <t>01000 15480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</si>
  <si>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</si>
  <si>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01000 S5480</t>
  </si>
  <si>
    <t>010Е2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</si>
  <si>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</t>
  </si>
  <si>
    <t>2 02 25491 00</t>
  </si>
  <si>
    <t>межбюджетные трансферты</t>
  </si>
  <si>
    <t xml:space="preserve">Субсидии бюджетам на создание новых мест дополнительного образования детей
</t>
  </si>
  <si>
    <t>Субсидии бюджетам на создание новых мест дополнительного образования детей</t>
  </si>
  <si>
    <t>Субсидия бюджетам на поддержку отрасли культуры</t>
  </si>
  <si>
    <t>05000 78410</t>
  </si>
  <si>
    <t>1 14 02050 00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</si>
  <si>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</si>
  <si>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</t>
  </si>
  <si>
    <t>Финансирование вопросов местного значения поселений</t>
  </si>
  <si>
    <t>Субвенции бюджетам на проведение Всероссийской переписи населения 2020 года</t>
  </si>
  <si>
    <t>Субсидия местным бюджетам из областного бюджета на выполнение расходных обязательств муниципальных образований области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</si>
  <si>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</si>
  <si>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</t>
  </si>
  <si>
    <t>2 02 25304 05</t>
  </si>
  <si>
    <t>Субсидии бюджетам муниципальных районов на проведение комплексных кадастровых работ</t>
  </si>
  <si>
    <t>2 02 25511 05</t>
  </si>
  <si>
    <t>2 02 25511 00</t>
  </si>
  <si>
    <t>Субвенции бюджетам муниципальных районов на проведение Всероссийской переписи населения 2020 года</t>
  </si>
  <si>
    <t>2 02 35469 00</t>
  </si>
  <si>
    <t>Субсидии бюджетам на проведение комплексных кадастровых работ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</si>
  <si>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</si>
  <si>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Субвенция местным бюджетам на осуществление отдельных государственных полномочий по поддержке сельскохозяйственного производства</t>
  </si>
  <si>
    <t xml:space="preserve">Субвенция местным бюджетам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</si>
  <si>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</si>
  <si>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</t>
  </si>
  <si>
    <t>Субсидии бюджетам на оснащение объектов спортивной инфраструктуры спортивно-технологическим оборудованием</t>
  </si>
  <si>
    <t>2 02 35502</t>
  </si>
  <si>
    <t>Субвенции бюджетам на стимулирование развития приоритетных подотраслей агропромышленного комплекса и развитие малых форм хозяйствования</t>
  </si>
  <si>
    <t>Субвенции</t>
  </si>
  <si>
    <t>Субсидии</t>
  </si>
  <si>
    <t>Предоставление субсидий бюджетным, автономным учреждениям и иным некоммерческим организациям</t>
  </si>
  <si>
    <t>04000 R5021</t>
  </si>
  <si>
    <t>Обращение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 и городских округов</t>
  </si>
  <si>
    <t>05100 54690</t>
  </si>
  <si>
    <t>Субвенции на проведение Всероссийской переписи населения 2020 года</t>
  </si>
  <si>
    <t>Подготовка и повышение квалификации лиц, замещающих муниципальные должности, и муниципальных служащих</t>
  </si>
  <si>
    <t>Софинансирование субсидии</t>
  </si>
  <si>
    <t>из них 500</t>
  </si>
  <si>
    <t>01000 16170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</si>
  <si>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</si>
  <si>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</si>
  <si>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 L3040</t>
  </si>
  <si>
    <t>01000 53030</t>
  </si>
  <si>
    <t>ИМБТ</t>
  </si>
  <si>
    <t>Субвенции 500</t>
  </si>
  <si>
    <t>Сфинансирование к субвенции</t>
  </si>
  <si>
    <t>Проведение комплексных кадастровых работ</t>
  </si>
  <si>
    <t>03000 L5110</t>
  </si>
  <si>
    <t>05000 94000</t>
  </si>
  <si>
    <t>Отдельное мероприятие "Обеспечение проведения выборов и референдумов"</t>
  </si>
  <si>
    <t>Обеспечение проведения выборов и референдумов</t>
  </si>
  <si>
    <t>05200 7600А</t>
  </si>
  <si>
    <t>Муниципальная целевая программа "Управление муниципальным имуществом"</t>
  </si>
  <si>
    <t>Источники</t>
  </si>
  <si>
    <t>Наименование показателя</t>
  </si>
  <si>
    <t>Сумма  (тыс.рублей)</t>
  </si>
  <si>
    <t>ИСТОЧНИКИ ВНУТРЕННЕГО ФИНАНСИРОВАНИЯ ДЕФИЦИТОВ БЮДЖЕТОВ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</si>
  <si>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</si>
  <si>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Привлечение кредитов от кредитных организаций бюджетом муниципального образования 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</si>
  <si>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</si>
  <si>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</si>
  <si>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</si>
  <si>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</si>
  <si>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</si>
  <si>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</si>
  <si>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 в валюте Российской Федерации</t>
  </si>
  <si>
    <t>Приложение 18</t>
  </si>
  <si>
    <t>тыс. рублей</t>
  </si>
  <si>
    <t>2 02 25467 00</t>
  </si>
  <si>
    <t>2 02 25467 05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</si>
  <si>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</si>
  <si>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</si>
  <si>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1 17 15000 00</t>
  </si>
  <si>
    <t>Инициативные платежи</t>
  </si>
  <si>
    <t>1 17 00000 00</t>
  </si>
  <si>
    <t>ПРОЧИЕ НЕНАЛОГОВЫЕ ДОХОДЫ</t>
  </si>
  <si>
    <t>05000 15170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</si>
  <si>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</si>
  <si>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Защита населения и территории от чрезвычайных ситуаций природного и техногенного характера, пожарная безопасность</t>
  </si>
  <si>
    <t>2 02 29999 00</t>
  </si>
  <si>
    <t>05200 L4670</t>
  </si>
  <si>
    <t>05200 Д4670</t>
  </si>
  <si>
    <t>Капитальный ремонт наружных сетей водопровода по ул. Подгорная дер. Матвеево</t>
  </si>
  <si>
    <t>"Чистая вода-4", ремонт участка водопровода, дер. Средние Шуни</t>
  </si>
  <si>
    <t>05000 15177</t>
  </si>
  <si>
    <t>05000 15175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</si>
  <si>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</si>
  <si>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</si>
  <si>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МАРТ</t>
  </si>
  <si>
    <t>ОКТЯБРЬ</t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</si>
  <si>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>сельских</t>
    </r>
    <r>
      <rPr>
        <i/>
        <sz val="12"/>
        <rFont val="Times New Roman"/>
        <family val="1"/>
        <charset val="204"/>
      </rPr>
      <t xml:space="preserve"> поселений, а также средства от продажи права на заключение договоров аренды указанных земельных участков</t>
    </r>
  </si>
  <si>
    <r>
  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поселений, а также средства от продажи права на заключение договоров аренды указанных земельных участков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</si>
  <si>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сельских </t>
    </r>
    <r>
      <rPr>
        <i/>
        <sz val="12"/>
        <rFont val="Times New Roman"/>
        <family val="1"/>
        <charset val="204"/>
      </rPr>
      <t>поселений</t>
    </r>
  </si>
  <si>
    <r>
      <t xml:space="preserve">Доходы от продажи земельных участков, государственная собственность на которые не разграничена и которые расположены в границах </t>
    </r>
    <r>
      <rPr>
        <b/>
        <i/>
        <sz val="12"/>
        <rFont val="Times New Roman"/>
        <family val="1"/>
        <charset val="204"/>
      </rPr>
      <t xml:space="preserve">городских </t>
    </r>
    <r>
      <rPr>
        <i/>
        <sz val="12"/>
        <rFont val="Times New Roman"/>
        <family val="1"/>
        <charset val="204"/>
      </rPr>
      <t>поселений</t>
    </r>
  </si>
  <si>
    <t>1 14 060020 00</t>
  </si>
  <si>
    <t>1 14 06025 05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</si>
  <si>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</si>
  <si>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1 16 10120 00</t>
  </si>
  <si>
    <t>1 16 10129 01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</si>
  <si>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</si>
  <si>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</si>
  <si>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1 17 05 050 05</t>
  </si>
  <si>
    <t>180</t>
  </si>
  <si>
    <t>Прочие неналоговые доходы</t>
  </si>
  <si>
    <t>1 17 05000 00</t>
  </si>
  <si>
    <t>1 11 07015 05</t>
  </si>
  <si>
    <t>1 11 07000 00</t>
  </si>
  <si>
    <t>1 11 07010 00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</si>
  <si>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</si>
  <si>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</si>
  <si>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2 02 20299 00</t>
  </si>
  <si>
    <t>2 02 20299 05</t>
  </si>
  <si>
    <t>2 02 25228 05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</si>
  <si>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</si>
  <si>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 xml:space="preserve">2 02 25228 00 </t>
  </si>
  <si>
    <t>2 02 25519 00</t>
  </si>
  <si>
    <t>2 02 25590 00</t>
  </si>
  <si>
    <t>Субсидия бюджетам на техническое оснащение муниципальных музеев</t>
  </si>
  <si>
    <t>2 02 25228 00</t>
  </si>
  <si>
    <t>Дополнительное ежемесячное обеспечение к пенсиям государственных служащих Российской Федерации, государственных служащих субъектов Российской Федерации и муниципальных служащих</t>
  </si>
  <si>
    <t>2024 год</t>
  </si>
  <si>
    <t>2. Погашение муниципальных долговых обязательств Вятскополянского района, выраженных в валюте Российской Федерации, в 2023 и 2024 годах</t>
  </si>
  <si>
    <t>в 2024 году</t>
  </si>
  <si>
    <t>Приложение 4</t>
  </si>
  <si>
    <t xml:space="preserve">                                                                                               Приложение 8</t>
  </si>
  <si>
    <t>субвенции</t>
  </si>
  <si>
    <t>субсидии</t>
  </si>
  <si>
    <t xml:space="preserve">МЕСТНЫЕ </t>
  </si>
  <si>
    <t>Сумма                (тыс. рублей)</t>
  </si>
  <si>
    <t>Вид         расходов</t>
  </si>
  <si>
    <t>Первоначально</t>
  </si>
  <si>
    <t>Федеральный проект "Современная школа"</t>
  </si>
  <si>
    <t>010E1 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</si>
  <si>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</si>
  <si>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 1546Г</t>
  </si>
  <si>
    <t>010E1 S546Г</t>
  </si>
  <si>
    <t>010E2 Д0970</t>
  </si>
  <si>
    <t>Мероприятия, направленные на обеспечение исполнения функций органов местного самоуправления</t>
  </si>
  <si>
    <t>02000 40200</t>
  </si>
  <si>
    <t>Реализация мероприятий, направленных на подготовку систем коммунальной инфраструктуры к работе в осенне-зимний период</t>
  </si>
  <si>
    <t>02000 13080</t>
  </si>
  <si>
    <t>Реализация мероприятий, направленных на подготовку объектов коммунальной инфраструктуры к работе в осенне-зимний период</t>
  </si>
  <si>
    <t>02000 15490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</si>
  <si>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</si>
  <si>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02000 17050</t>
  </si>
  <si>
    <t>Реализация мероприятий национального проекта
«Жилье и городская среда»</t>
  </si>
  <si>
    <t>020F0 00000</t>
  </si>
  <si>
    <t>Федеральный проект "Обеспечение устойчивого сокращения непригодного для проживания жилищного фонда"</t>
  </si>
  <si>
    <t>020F3 00000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</si>
  <si>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</si>
  <si>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020F3 67483</t>
  </si>
  <si>
    <t>Обеспечение мероприятий по переселению граждан из аварийного жилищного фонда за счет средств областного бюджета</t>
  </si>
  <si>
    <t>020F3 67484</t>
  </si>
  <si>
    <t>04100 00000</t>
  </si>
  <si>
    <t>Развитие транспортной инфраструктуры на сельских территориях</t>
  </si>
  <si>
    <t>04100 N3720</t>
  </si>
  <si>
    <t>Капитальный ремонт автомобильной дороги общего пользования местного значения Вятские Поляны - Новый Бурец</t>
  </si>
  <si>
    <t>04100 N3721</t>
  </si>
  <si>
    <t>Капитальный ремонт автомобильной дороги Вятские Поляны - Кулыги в Вятскополянском районе</t>
  </si>
  <si>
    <t>04100 N3722</t>
  </si>
  <si>
    <t>04100 S3720</t>
  </si>
  <si>
    <t>04100 S3721</t>
  </si>
  <si>
    <t>04100 S3722</t>
  </si>
  <si>
    <t>05300 M5080</t>
  </si>
  <si>
    <t>05300 17000</t>
  </si>
  <si>
    <t>Ремонт автомобильных дорог общего пользования местного значения</t>
  </si>
  <si>
    <t>05300 17350</t>
  </si>
  <si>
    <t>05000 S5175</t>
  </si>
  <si>
    <t>05000 S5177</t>
  </si>
  <si>
    <t>05000 Д5177</t>
  </si>
  <si>
    <t>05000 15490</t>
  </si>
  <si>
    <t>05000 S5490</t>
  </si>
  <si>
    <t>05000 Д5490</t>
  </si>
  <si>
    <t>Создание мест (площадок) накопления твердых коммунальных отходов</t>
  </si>
  <si>
    <t>05000 15540</t>
  </si>
  <si>
    <t>05000 S5540</t>
  </si>
  <si>
    <t>05300 15540</t>
  </si>
  <si>
    <t>05300 S5540</t>
  </si>
  <si>
    <t>05000 R0820</t>
  </si>
  <si>
    <t>05000 17000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</si>
  <si>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</si>
  <si>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05000 17380</t>
  </si>
  <si>
    <t>Субсидии местным бюджетам на выравнивание обеспеченности муниципальных образований области</t>
  </si>
  <si>
    <t>Спорт высших достижений</t>
  </si>
  <si>
    <t>Отдельное мероприятие "Деятельность учреждений в сфере физической культуры и спорта"</t>
  </si>
  <si>
    <t>05200 7500А</t>
  </si>
  <si>
    <t>Сумма         (тыс. рублей)</t>
  </si>
  <si>
    <t>Сумма                       (тыс. рублей)</t>
  </si>
  <si>
    <t>Вид расходов</t>
  </si>
  <si>
    <t>010Е2 Д0970</t>
  </si>
  <si>
    <t xml:space="preserve"> </t>
  </si>
  <si>
    <t>05200 7500A</t>
  </si>
  <si>
    <t>Единица измерения</t>
  </si>
  <si>
    <t>тыс. руб.</t>
  </si>
  <si>
    <t>Первоначально 2024</t>
  </si>
  <si>
    <t>05300 15100</t>
  </si>
  <si>
    <t>05300 S5100</t>
  </si>
  <si>
    <t>'Единица измерения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</si>
  <si>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2022 год</t>
  </si>
  <si>
    <t>052P5 17440</t>
  </si>
  <si>
    <t>052P5 17000</t>
  </si>
  <si>
    <t>052P5 00000</t>
  </si>
  <si>
    <t>052P0 00000</t>
  </si>
  <si>
    <t>Финансовая поддержка детско-юношеского спорта</t>
  </si>
  <si>
    <t>010E1 15460</t>
  </si>
  <si>
    <t>010E1 S5460</t>
  </si>
  <si>
    <t>Объем поступления доходов бюджета Вятскополянского района по подстатьям классификации доходов бюджетов на 2023 год</t>
  </si>
  <si>
    <t>от                            №</t>
  </si>
  <si>
    <t>Объем поступления доходов бюджета Вятскополянского района по подстатьям классификации доходов бюджетов на 2024 год и на 2025 год</t>
  </si>
  <si>
    <t xml:space="preserve">2025 год </t>
  </si>
  <si>
    <t>Иные межбюджетные трансферты на финансовую поддержку детско-юношеского спорта</t>
  </si>
  <si>
    <t>Иные межбюджетные трансферты на предоставление бесплатного горячего питания детям военнослужащих</t>
  </si>
  <si>
    <t>Межбюджетные трансферты, передаваемые местным бюджетам на создание модельных муниципальных библиотек</t>
  </si>
  <si>
    <t>2 02 45454 05</t>
  </si>
  <si>
    <t>Субсидия местным бюджетам на проведение комплексных кадастровых работ</t>
  </si>
  <si>
    <t xml:space="preserve">Субсидия местным бюджетам на организацию деятельности народных дружин </t>
  </si>
  <si>
    <t>Субсидия местным бюджетам на реализацию мероприятий, предусмотренных планом природоохранных мероприятий ФЗ "Об охране окружающей среды"</t>
  </si>
  <si>
    <t>Субсидии местным бюджетам на строительство и реконструкцию (модернизацию) объектов питьевого водоснабжения</t>
  </si>
  <si>
    <t>2 02 25243 00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</si>
  <si>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2024 год и на 2025 год</t>
  </si>
  <si>
    <t>Субсидия местным бюджетам из областного бюджета на проектирование, строительство, реконструкцию автомобитльных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на 2023 год</t>
  </si>
  <si>
    <t>Субсидия на оплату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 на 2024 и 2025 год</t>
  </si>
  <si>
    <t>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 на 2024 год</t>
  </si>
  <si>
    <t>поправки февраля</t>
  </si>
  <si>
    <t>Управление образования администрации Вятскополянского района Кировской области</t>
  </si>
  <si>
    <t>Общеэкономические вопросы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</si>
  <si>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</t>
  </si>
  <si>
    <t>01000 17100</t>
  </si>
  <si>
    <t>0100017190</t>
  </si>
  <si>
    <t>01000 17190</t>
  </si>
  <si>
    <t>Реализация государственной программы Кировской области "Развитие физической культуры и спорта"</t>
  </si>
  <si>
    <t>05200 15010</t>
  </si>
  <si>
    <t>05200 S5010</t>
  </si>
  <si>
    <t>Стимулирование сельских поселений за счет дополнительных поступлений от продажи права на заключение договоров аренды земельных участков и продажи земельных участков</t>
  </si>
  <si>
    <t>02000 41030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</si>
  <si>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</si>
  <si>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05100 1504Г</t>
  </si>
  <si>
    <t>05100 S504Г</t>
  </si>
  <si>
    <t>Субсидия ООО "Краснополянская автоколонна" на осуществление мероприятий по погашению кредиторской задолженности по выходным пособиям и (или) оплате труда работников при ликвидации</t>
  </si>
  <si>
    <t>99900 30000</t>
  </si>
  <si>
    <t>Капитальный ремонт участка наружных сетей водопровода от скважины по ул. Садовая дер. Киняусь</t>
  </si>
  <si>
    <t>05000 15174</t>
  </si>
  <si>
    <t>05000 S5174</t>
  </si>
  <si>
    <t>Иные межбюджетные трансферты на обеспечение отопительного сезона 2021-2022 годов</t>
  </si>
  <si>
    <t>05000 1742Г</t>
  </si>
  <si>
    <t>Поддержка отрасли культуры</t>
  </si>
  <si>
    <t>05200 15600</t>
  </si>
  <si>
    <t>05200 S5600</t>
  </si>
  <si>
    <t>05200 L5190</t>
  </si>
  <si>
    <t>Иные межбюджетные трансферты на оборудование мест проживания семей, находящихся в трудной жизненной ситуации, автономными пожарными извещателями</t>
  </si>
  <si>
    <t>Другие вопросы в области социальной политики</t>
  </si>
  <si>
    <t>Отдельное мероприятие "Реализация мероприятий по оказанию поддержки детям, находящимся в трудной жизненной ситуации"</t>
  </si>
  <si>
    <t>05000 74100</t>
  </si>
  <si>
    <t>05200 17000</t>
  </si>
  <si>
    <t>05200 17440</t>
  </si>
  <si>
    <t>Областные +софинансирование</t>
  </si>
  <si>
    <t>Местные</t>
  </si>
  <si>
    <t>расходов бюджета Вятскополянского района на 2023 год</t>
  </si>
  <si>
    <t>бюджетных ассигнований по разделам и подразделам классификации расходов бюджетов на 2023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</si>
  <si>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2023 год</t>
  </si>
  <si>
    <t>ПОПРАВКИ АПРЕЛЯ</t>
  </si>
  <si>
    <t>ПОПРАВКИ ноябрь</t>
  </si>
  <si>
    <t>2023 ГОД</t>
  </si>
  <si>
    <t>2024 ГОД</t>
  </si>
  <si>
    <t>Возмещение части затрат на уплату процентов по инвестиционным кредитам (займам) в агропромышленном комплексе</t>
  </si>
  <si>
    <t>04000 R4360</t>
  </si>
  <si>
    <t>04100 L3720</t>
  </si>
  <si>
    <t>04100 L3721</t>
  </si>
  <si>
    <t>Капитальный ремонт автомобильной дороги общего пользования местного значения Вятские Поляны - Ершовка</t>
  </si>
  <si>
    <t>04100 L3723</t>
  </si>
  <si>
    <t>от                       №</t>
  </si>
  <si>
    <t>от                                     №</t>
  </si>
  <si>
    <t>04100 S3723</t>
  </si>
  <si>
    <t>Капитальный ремонт и ремонт автомобильных дорог общего пользования местного значения с твердым покрытием</t>
  </si>
  <si>
    <t>05300 S5550</t>
  </si>
  <si>
    <t>05300 26100</t>
  </si>
  <si>
    <t>Мероприятия, предусмотренные планом природоохранных мероприятий</t>
  </si>
  <si>
    <t>Другие вопросы в области охраны окружающей среды</t>
  </si>
  <si>
    <t>05300 S6100</t>
  </si>
  <si>
    <t>053F5 S2430</t>
  </si>
  <si>
    <t>053F5 N2430</t>
  </si>
  <si>
    <t>053F5 00000</t>
  </si>
  <si>
    <t>053F0 00000</t>
  </si>
  <si>
    <t>Реализация мероприятий национального проекта "Жилье и городская среда"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</si>
  <si>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</si>
  <si>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</si>
  <si>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05200 15160</t>
  </si>
  <si>
    <t>05200 S5160</t>
  </si>
  <si>
    <t>Организация деятельности народных дружин</t>
  </si>
  <si>
    <t>Реализация мероприятий национального проекта "Культура"</t>
  </si>
  <si>
    <t>052A0 00000</t>
  </si>
  <si>
    <t>052A1 00000</t>
  </si>
  <si>
    <t>Федеральный проект "Культурная среда"</t>
  </si>
  <si>
    <t>052A1 54540</t>
  </si>
  <si>
    <t>Создание модельных муниципальных библиотек</t>
  </si>
  <si>
    <t>Хранение, комплектование, учет и использование архивных документов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</si>
  <si>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</si>
  <si>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</si>
  <si>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 несовершеннолетних, включая административную юрисдикцию</t>
  </si>
  <si>
    <t>Создание и деятельность в муниципальных образованиях административных комиссий</t>
  </si>
  <si>
    <t>Предоставление бесплатного горячего питания детям военнослужащих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</si>
  <si>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</si>
  <si>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03000 15000</t>
  </si>
  <si>
    <t>03000 15140</t>
  </si>
  <si>
    <t>03000 S5140</t>
  </si>
  <si>
    <t>Областные + софинансирование</t>
  </si>
  <si>
    <t>расходов бюджета Вятскополянского района на 2024 год и на 2025 год</t>
  </si>
  <si>
    <t>2025 год</t>
  </si>
  <si>
    <t>Первоначально 2025</t>
  </si>
  <si>
    <t>бюджетных ассигнований по разделам и подразделам классификации расходов бюджетов на 2024 год и на 2025 год</t>
  </si>
  <si>
    <t>бюджетных ассигнований по целевым статьям (муниципальным программам Вятскополянского района и непрограммным направлениям деятельности), группам видов расходов классификации расходов бюджетов на 2024 год и на 2025 год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</si>
  <si>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</t>
  </si>
  <si>
    <t>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</si>
  <si>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05300 М6100</t>
  </si>
  <si>
    <t>от _____________ № ____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</si>
  <si>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2023 год</t>
  </si>
  <si>
    <t>от ______________ № _______</t>
  </si>
  <si>
    <t>финансирования дефицита бюджета Вятскополянского района на 2023 год</t>
  </si>
  <si>
    <t>иных межбюджетных трансфертов на поддержку мер по обеспечению сбалансированности бюджетов поселений на 2023 год</t>
  </si>
  <si>
    <t>от   ___________  №_____</t>
  </si>
  <si>
    <t>публичных нормативных обязательств, подлежащих исполнению за счет средств бюджета Вятскополянского района, с указанием бюджетных ассигнований по ним на 2024 год и на 2025 год</t>
  </si>
  <si>
    <t>на 2024 год и 2025 год</t>
  </si>
  <si>
    <t xml:space="preserve">1. Муниципальные внутренние заимствования Вятскополянского района, осуществляемые в 2024 году и 2025 году </t>
  </si>
  <si>
    <t>2025 году</t>
  </si>
  <si>
    <t>от ______________ № _________</t>
  </si>
  <si>
    <t>Приложение 12</t>
  </si>
  <si>
    <t>Приложение  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</si>
  <si>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</si>
  <si>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</t>
  </si>
  <si>
    <t>2 02 25179 05</t>
  </si>
  <si>
    <t>Федеральный проект "Патриотическое воспитание граждан Российской Федерации"</t>
  </si>
  <si>
    <t>010EВ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</si>
  <si>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</si>
  <si>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 51790</t>
  </si>
  <si>
    <t>05200 16140</t>
  </si>
  <si>
    <t>"Чистая вода-5" ремонт участков водопровода по ул. Школьная, Советская, Ленина, Мира, дер. Средние Шуни</t>
  </si>
  <si>
    <t>Капитальный ремонт участков наружных сетей водопровода по ул. Садовая, дер. Киняусь</t>
  </si>
  <si>
    <t>05200 03000</t>
  </si>
  <si>
    <t>05200 03340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</si>
  <si>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</si>
  <si>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Поправки февраля</t>
  </si>
  <si>
    <t>поправки</t>
  </si>
  <si>
    <t>Внутренние передвижки</t>
  </si>
  <si>
    <t>Отдельное мероприятие «Обеспечение персонифицированного финансирования дополнительного образования детей»</t>
  </si>
  <si>
    <t>991</t>
  </si>
  <si>
    <t>990</t>
  </si>
  <si>
    <t>поправки ФЕВРАЛЬ</t>
  </si>
  <si>
    <t>февраль</t>
  </si>
  <si>
    <t>областные+софинансирование</t>
  </si>
  <si>
    <t>Строительство, реконструкция, модернизация материально-технической базы муниципальных образовательных организаций</t>
  </si>
  <si>
    <t>01000 S5660</t>
  </si>
  <si>
    <t>01000 15660</t>
  </si>
  <si>
    <t>05300 15210</t>
  </si>
  <si>
    <t>05300 S5210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</si>
  <si>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</si>
  <si>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05000 17070</t>
  </si>
  <si>
    <t>Иные межбюджетные трансферты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</si>
  <si>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Дым-Дым-Омга)</t>
  </si>
  <si>
    <t>Субсидия местным бюджетам из областного бюджета на строительство, реконструкцию, модернизацию материальнотехнической базы муниципальных образовательных организаций на 2023</t>
  </si>
  <si>
    <t>Субсидия местным бюджетам из областного бюджета на реализацию мероприятий, направленных на подготовку систем коммунальной инфраструктуры к работе в осенне-зимний период, на 2023 год</t>
  </si>
  <si>
    <t>Субсидия местным бюджетам из областного бюджета на капитальный ремонт, ремонт и восстановление изношенных верних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на 2023</t>
  </si>
  <si>
    <t>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топлива, на 2023</t>
  </si>
  <si>
    <t>Иные межбюджетные трансферты местным бюджетам из областного бюджета на оборудование мест проживания семей, находящихся в трудной жизненной ситуации, автономными пожарными извещателями на 2023</t>
  </si>
  <si>
    <t>по программе сельхоз перенести</t>
  </si>
  <si>
    <t>Подпрограмма «Комплексное развитие сельских территорий Вятскополянского района Кировской области"</t>
  </si>
  <si>
    <t>Центр бухгалтерского сопровождения поселений</t>
  </si>
  <si>
    <t>02000 40300</t>
  </si>
  <si>
    <t>04100 15000</t>
  </si>
  <si>
    <t xml:space="preserve">                Прочие безвозмездные поступления в бюджеты муниципальных районов (МКОУ ДО  "Сосновская ДШИ")</t>
  </si>
  <si>
    <t xml:space="preserve">                Прочие безвозмездные поступления в бюджеты муниципальных районов (МКОУ ДО  "Краснополянская детская школа искусств")</t>
  </si>
  <si>
    <t xml:space="preserve">                 Приложение 19</t>
  </si>
  <si>
    <t>от ____________ №  ________</t>
  </si>
  <si>
    <t>финансирования дефицита бюджета Вятскополянского района на 2024 год и на 2025 год</t>
  </si>
  <si>
    <t>2 19 25497 00</t>
  </si>
  <si>
    <t>поправки АПРЕЛЬ</t>
  </si>
  <si>
    <t>поправки апрель</t>
  </si>
  <si>
    <t>апрель</t>
  </si>
  <si>
    <t>Капитальный ремонт участков наружных сетей водопровода по ул. Садовой, дер. Киняусь</t>
  </si>
  <si>
    <t>"Чистая вода-5", капитальный ремонт участка наружных сетей водопровода, дер. Средние Шуни</t>
  </si>
  <si>
    <t>05300 Д5210</t>
  </si>
  <si>
    <t xml:space="preserve">              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2016 - 2020 годы" из бюджетов муниципальных районов</t>
  </si>
  <si>
    <t xml:space="preserve">  Возврат остатков субсидий на реализацию мероприятий по обеспечению жильем молодых семей из бюджетов городских поселений</t>
  </si>
  <si>
    <t>2 19 25495 00</t>
  </si>
  <si>
    <t>Инициативные платежи, зачисляемые в бюджеты муниципальных районов (Ремонт участка водопровода в дер. Средние Шуни)</t>
  </si>
  <si>
    <t>Инициативные платежи, зачисляемые в бюджеты муниципальных районов (Капитальный ремонт участка наружных сетей водопровода от скважины по ул. Садовая дер. Киняусь)</t>
  </si>
  <si>
    <t>Прочие доходы от компенсации затрат бюджетов муниципальных районов</t>
  </si>
  <si>
    <t>1 13 02995 00</t>
  </si>
  <si>
    <t>2 04 05099 00</t>
  </si>
  <si>
    <t xml:space="preserve">2 04 05099 00 </t>
  </si>
  <si>
    <t>Предоставление негосударственными организациями грантов для получателей средств бюджетов муниципальных районов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</si>
  <si>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</si>
  <si>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муниципальных районов</t>
  </si>
  <si>
    <t>2 04 05010 00</t>
  </si>
  <si>
    <t>Прочие безвозмездные поступления от негосударственных организаций в бюджеты муниципальных районов(Ремонт участка водопровода в дер. Средние Шуни)</t>
  </si>
  <si>
    <t>Прочие безвозмездные поступления от негосударственных организаций в бюджеты муниципальных районов(Капитальный ремонт участка наружных сетей водопровода от скважины по ул. Садовая дер.Киняусь)</t>
  </si>
  <si>
    <t xml:space="preserve">2 07 05000 00 </t>
  </si>
  <si>
    <t>1 17 05 050 00</t>
  </si>
  <si>
    <t>от 19.04.2023 г. №11</t>
  </si>
  <si>
    <t>Приложение 13</t>
  </si>
  <si>
    <t>межбюджетных трансфертов бюджетам сельских поселений Вятскополянского района на осуществление части полномочий по решению вопросов местного значения в соответствии с заключенными соглашениями на 2023 год</t>
  </si>
  <si>
    <t>поправки июнь</t>
  </si>
  <si>
    <t>050F0 00000</t>
  </si>
  <si>
    <t>050F5 00000</t>
  </si>
  <si>
    <t>050F5 N2430</t>
  </si>
  <si>
    <t>050F5 S2430</t>
  </si>
  <si>
    <t>05000 S5590</t>
  </si>
  <si>
    <t>05000 15590</t>
  </si>
  <si>
    <t>Подготовка сведений о границах населенных пунктов и о границах территориальных зон</t>
  </si>
  <si>
    <t>от 21.12.2022 № 67</t>
  </si>
  <si>
    <t>05300 82000</t>
  </si>
  <si>
    <t>Отдельное мероприятие "Организация места массового отдыха и обеспечение безопасности людей на водных объектах в период купального периода"</t>
  </si>
  <si>
    <t>Субсидии бюджетам муниципальных районов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</si>
  <si>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оборудование (дооборудование) пляжей (мест отдыха людей у воды) на 2023</t>
  </si>
  <si>
    <t>Субсидия местным бюджетам из областного бюджета на капитальный ремонт, ремонт и содержание автомобильных  дорог общего пользования местного значения с твердым покрытием на 2023 год</t>
  </si>
  <si>
    <t xml:space="preserve">                Прочие безвозмездные поступления в бюджеты муниципальных районов (Доходы администрации Вятскополянского района)</t>
  </si>
  <si>
    <t>Прочие доходы от оказания платных услуг (работ) получателями средств бюджетов муниципальных районов (Доходы за услуги по водоснабжению дер. Гремячка)</t>
  </si>
  <si>
    <t xml:space="preserve">  Прочие доходы от оказания платных услуг (работ) получателями средств бюджетов муниципальных районов (Доходы МКОУ ДО "Краснополянская детская школа искусств")</t>
  </si>
  <si>
    <t xml:space="preserve">              Прочие доходы от оказания платных услуг (работ) получателями средств бюджетов муниципальных районов (Доходы МКОУ ДО "Сосновская детская школа искусств")</t>
  </si>
  <si>
    <t>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</si>
  <si>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15896,7</t>
  </si>
  <si>
    <t>05300 15220</t>
  </si>
  <si>
    <t xml:space="preserve">Оборудование (дооборудование) пляжей (мест отдыха людей у воды) </t>
  </si>
  <si>
    <t>05300 S5220</t>
  </si>
  <si>
    <t>01000 15050</t>
  </si>
  <si>
    <t>01000 S5050</t>
  </si>
  <si>
    <t>Укрепление материально-технической базы и благоустройство территорий муниципальных образовательных организаций</t>
  </si>
  <si>
    <t>Субсидия местным бюджетам из областного бюджета на укрепление материально-технической базы и благоустройство территорий муниципальных образовательных организаций на 2023</t>
  </si>
  <si>
    <t>01000 17480</t>
  </si>
  <si>
    <t>Предоставление бесплатного горячего питания детям участников специальной военной операции</t>
  </si>
  <si>
    <t>июнь</t>
  </si>
  <si>
    <t>04000 85070</t>
  </si>
  <si>
    <t>поправки август</t>
  </si>
  <si>
    <t>05300 27000</t>
  </si>
  <si>
    <t>Фонд поддержки инициатив населения</t>
  </si>
  <si>
    <t>2025 ГОД</t>
  </si>
  <si>
    <t>август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</si>
  <si>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</si>
  <si>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804</t>
  </si>
  <si>
    <t>1 16 11050 01</t>
  </si>
  <si>
    <t>1 16 01000 00</t>
  </si>
  <si>
    <t xml:space="preserve">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</si>
  <si>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1 16 01063 00</t>
  </si>
  <si>
    <t xml:space="preserve">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</si>
  <si>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836</t>
  </si>
  <si>
    <t>738</t>
  </si>
  <si>
    <t xml:space="preserve">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</si>
  <si>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</si>
  <si>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</si>
  <si>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1 16 11000 00</t>
  </si>
  <si>
    <t>Иные межбюджетные трансферты местным бюджетам из фонда поддержки инициатив населения в 2023г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</si>
  <si>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</si>
  <si>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ПОПРАВКИ сентябрь</t>
  </si>
  <si>
    <t>05300 Д5550</t>
  </si>
  <si>
    <t>01000 0230A</t>
  </si>
  <si>
    <t>04100 15100</t>
  </si>
  <si>
    <t>04100 S5100</t>
  </si>
  <si>
    <t>от 16.08.2023  г.   №28</t>
  </si>
  <si>
    <t>от16.08.2023 г. №28_</t>
  </si>
  <si>
    <r>
      <t xml:space="preserve">от </t>
    </r>
    <r>
      <rPr>
        <u/>
        <sz val="12"/>
        <rFont val="Times New Roman"/>
        <family val="1"/>
        <charset val="204"/>
      </rPr>
      <t xml:space="preserve">16.08.2023 </t>
    </r>
    <r>
      <rPr>
        <sz val="12"/>
        <rFont val="Times New Roman"/>
        <family val="1"/>
        <charset val="204"/>
      </rPr>
      <t>г. №</t>
    </r>
    <r>
      <rPr>
        <u/>
        <sz val="12"/>
        <rFont val="Times New Roman"/>
        <family val="1"/>
        <charset val="204"/>
      </rPr>
      <t>28</t>
    </r>
  </si>
  <si>
    <t>от 16.08.2023г. №28</t>
  </si>
  <si>
    <t xml:space="preserve">от 16.08.2023 г. № 28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</si>
</sst>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р_._-;\-* #,##0.00_р_._-;_-* &quot;-&quot;??_р_._-;_-@_-"/>
    <numFmt numFmtId="164" formatCode="#,##0.000"/>
    <numFmt numFmtId="165" formatCode="0.000"/>
    <numFmt numFmtId="166" formatCode="0.00000"/>
    <numFmt numFmtId="167" formatCode="0.0"/>
    <numFmt numFmtId="168" formatCode="#,##0.0"/>
    <numFmt numFmtId="169" formatCode="_-* #,##0.0_р_._-;\-* #,##0.0_р_._-;_-* &quot;-&quot;??_р_._-;_-@_-"/>
    <numFmt numFmtId="170" formatCode="#,##0.0000"/>
    <numFmt numFmtId="171" formatCode="_-* #,##0.0000_р_._-;\-* #,##0.0000_р_._-;_-* &quot;-&quot;??_р_._-;_-@_-"/>
    <numFmt numFmtId="172" formatCode="#,##0.00000"/>
    <numFmt numFmtId="173" formatCode="#,##0.000000"/>
    <numFmt numFmtId="174" formatCode="_-* #,##0.00000_р_._-;\-* #,##0.00000_р_._-;_-* &quot;-&quot;??_р_._-;_-@_-"/>
    <numFmt numFmtId="175" formatCode="0.000000"/>
    <numFmt numFmtId="176" formatCode="#,##0.0000_ ;\-#,##0.0000\ "/>
    <numFmt numFmtId="177" formatCode="#,##0.00000_ ;\-#,##0.00000\ "/>
  </numFmts>
  <fonts count="6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  <font>
      <sz val="12"/>
      <name val="Times New Roman"/>
      <family val="1"/>
    </font>
    <font>
      <sz val="12"/>
      <color indexed="8"/>
      <name val="Arial Cyr"/>
      <charset val="204"/>
    </font>
    <font>
      <b/>
      <sz val="12"/>
      <color indexed="8"/>
      <name val="Arial Cyr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2"/>
      <name val="Arial Cyr"/>
      <charset val="204"/>
    </font>
    <font>
      <b/>
      <i/>
      <sz val="10"/>
      <name val="Arial Cyr"/>
      <charset val="204"/>
    </font>
    <font>
      <sz val="13.5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.5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color theme="5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rgb="FF00B05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theme="4"/>
      <name val="Times New Roman"/>
      <family val="1"/>
      <charset val="204"/>
    </font>
    <font>
      <b/>
      <sz val="12"/>
      <color theme="7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u/>
      <sz val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30" fillId="0" borderId="16">
      <alignment horizontal="left" vertical="top" wrapText="1"/>
    </xf>
    <xf numFmtId="0" fontId="29" fillId="0" borderId="0"/>
    <xf numFmtId="0" fontId="3" fillId="0" borderId="0"/>
    <xf numFmtId="0" fontId="4" fillId="0" borderId="0"/>
    <xf numFmtId="0" fontId="4" fillId="0" borderId="0"/>
    <xf numFmtId="43" fontId="29" fillId="0" borderId="0" applyFont="0" applyFill="0" applyBorder="0" applyAlignment="0" applyProtection="0"/>
  </cellStyleXfs>
  <cellXfs count="800">
    <xf numFmtId="0" fontId="0" fillId="0" borderId="0" xfId="0"/>
    <xf numFmtId="49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32" fillId="0" borderId="0" xfId="0" quotePrefix="1" applyNumberFormat="1" applyFont="1" applyAlignment="1">
      <alignment wrapText="1"/>
    </xf>
    <xf numFmtId="0" fontId="32" fillId="0" borderId="0" xfId="0" applyFont="1" applyAlignment="1">
      <alignment wrapText="1"/>
    </xf>
    <xf numFmtId="49" fontId="33" fillId="0" borderId="0" xfId="0" applyNumberFormat="1" applyFont="1"/>
    <xf numFmtId="49" fontId="34" fillId="0" borderId="0" xfId="0" applyNumberFormat="1" applyFont="1"/>
    <xf numFmtId="0" fontId="3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6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5" fillId="0" borderId="0" xfId="0" applyFont="1"/>
    <xf numFmtId="0" fontId="3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 indent="1"/>
    </xf>
    <xf numFmtId="0" fontId="36" fillId="0" borderId="1" xfId="0" applyFont="1" applyBorder="1" applyAlignment="1">
      <alignment vertical="center"/>
    </xf>
    <xf numFmtId="11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 wrapText="1" indent="1"/>
    </xf>
    <xf numFmtId="0" fontId="15" fillId="0" borderId="0" xfId="0" applyFont="1"/>
    <xf numFmtId="0" fontId="7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0" fontId="16" fillId="0" borderId="0" xfId="0" applyFont="1"/>
    <xf numFmtId="49" fontId="15" fillId="0" borderId="0" xfId="0" applyNumberFormat="1" applyFont="1"/>
    <xf numFmtId="3" fontId="7" fillId="0" borderId="0" xfId="0" applyNumberFormat="1" applyFont="1"/>
    <xf numFmtId="3" fontId="15" fillId="0" borderId="0" xfId="0" applyNumberFormat="1" applyFont="1"/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164" fontId="14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6" fillId="0" borderId="0" xfId="0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1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11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6" fillId="0" borderId="1" xfId="0" applyNumberFormat="1" applyFont="1" applyBorder="1"/>
    <xf numFmtId="0" fontId="6" fillId="0" borderId="0" xfId="0" applyFont="1"/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0" borderId="2" xfId="0" applyFont="1" applyBorder="1"/>
    <xf numFmtId="49" fontId="14" fillId="0" borderId="0" xfId="0" applyNumberFormat="1" applyFont="1" applyAlignment="1">
      <alignment wrapText="1"/>
    </xf>
    <xf numFmtId="0" fontId="3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1" fontId="37" fillId="0" borderId="1" xfId="0" applyNumberFormat="1" applyFont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top"/>
    </xf>
    <xf numFmtId="164" fontId="37" fillId="0" borderId="1" xfId="0" applyNumberFormat="1" applyFont="1" applyBorder="1" applyAlignment="1">
      <alignment horizontal="right" vertical="top"/>
    </xf>
    <xf numFmtId="11" fontId="35" fillId="0" borderId="1" xfId="0" applyNumberFormat="1" applyFont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top"/>
    </xf>
    <xf numFmtId="164" fontId="35" fillId="0" borderId="1" xfId="0" applyNumberFormat="1" applyFont="1" applyBorder="1" applyAlignment="1">
      <alignment horizontal="right" vertical="top"/>
    </xf>
    <xf numFmtId="0" fontId="38" fillId="0" borderId="0" xfId="0" applyFont="1" applyAlignment="1">
      <alignment wrapText="1"/>
    </xf>
    <xf numFmtId="0" fontId="37" fillId="0" borderId="0" xfId="0" applyFont="1"/>
    <xf numFmtId="49" fontId="5" fillId="0" borderId="2" xfId="0" applyNumberFormat="1" applyFont="1" applyBorder="1"/>
    <xf numFmtId="49" fontId="5" fillId="0" borderId="2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0" fontId="1" fillId="0" borderId="0" xfId="3" applyFont="1"/>
    <xf numFmtId="0" fontId="17" fillId="0" borderId="0" xfId="3" applyFont="1"/>
    <xf numFmtId="49" fontId="1" fillId="0" borderId="0" xfId="0" applyNumberFormat="1" applyFont="1"/>
    <xf numFmtId="0" fontId="2" fillId="0" borderId="0" xfId="3" applyFont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7" fillId="0" borderId="0" xfId="3" applyFont="1" applyAlignment="1">
      <alignment horizontal="center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0" fillId="0" borderId="0" xfId="0" applyFont="1"/>
    <xf numFmtId="0" fontId="3" fillId="0" borderId="0" xfId="0" applyFont="1"/>
    <xf numFmtId="0" fontId="39" fillId="0" borderId="0" xfId="0" applyFont="1"/>
    <xf numFmtId="0" fontId="19" fillId="0" borderId="1" xfId="0" applyFont="1" applyBorder="1" applyAlignment="1">
      <alignment horizontal="center" wrapText="1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wrapText="1"/>
    </xf>
    <xf numFmtId="49" fontId="20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49" fontId="40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left" vertical="center" wrapText="1"/>
    </xf>
    <xf numFmtId="11" fontId="2" fillId="0" borderId="1" xfId="0" applyNumberFormat="1" applyFont="1" applyBorder="1" applyAlignment="1">
      <alignment horizontal="left" vertical="center" wrapText="1"/>
    </xf>
    <xf numFmtId="0" fontId="37" fillId="0" borderId="1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7" fillId="0" borderId="1" xfId="0" quotePrefix="1" applyFont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right" vertical="center"/>
    </xf>
    <xf numFmtId="168" fontId="5" fillId="0" borderId="1" xfId="0" applyNumberFormat="1" applyFont="1" applyBorder="1" applyAlignment="1">
      <alignment horizontal="right" vertical="center"/>
    </xf>
    <xf numFmtId="168" fontId="41" fillId="0" borderId="1" xfId="0" applyNumberFormat="1" applyFont="1" applyBorder="1" applyAlignment="1">
      <alignment horizontal="right" vertical="center"/>
    </xf>
    <xf numFmtId="168" fontId="37" fillId="0" borderId="1" xfId="0" applyNumberFormat="1" applyFont="1" applyBorder="1" applyAlignment="1">
      <alignment horizontal="right" vertical="top"/>
    </xf>
    <xf numFmtId="168" fontId="35" fillId="0" borderId="1" xfId="0" applyNumberFormat="1" applyFont="1" applyBorder="1" applyAlignment="1">
      <alignment horizontal="right" vertical="top"/>
    </xf>
    <xf numFmtId="168" fontId="1" fillId="0" borderId="1" xfId="3" applyNumberFormat="1" applyFont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right" vertical="center" wrapText="1" indent="1"/>
    </xf>
    <xf numFmtId="168" fontId="6" fillId="0" borderId="1" xfId="0" applyNumberFormat="1" applyFont="1" applyBorder="1" applyAlignment="1">
      <alignment horizontal="right" wrapText="1" indent="1"/>
    </xf>
    <xf numFmtId="168" fontId="14" fillId="0" borderId="1" xfId="0" applyNumberFormat="1" applyFont="1" applyBorder="1" applyAlignment="1">
      <alignment wrapText="1"/>
    </xf>
    <xf numFmtId="168" fontId="6" fillId="0" borderId="1" xfId="0" applyNumberFormat="1" applyFont="1" applyBorder="1" applyAlignment="1">
      <alignment wrapText="1"/>
    </xf>
    <xf numFmtId="0" fontId="36" fillId="0" borderId="3" xfId="0" applyFont="1" applyBorder="1"/>
    <xf numFmtId="0" fontId="6" fillId="0" borderId="7" xfId="0" applyFont="1" applyBorder="1" applyAlignment="1">
      <alignment horizontal="center" vertical="center"/>
    </xf>
    <xf numFmtId="49" fontId="5" fillId="0" borderId="1" xfId="0" applyNumberFormat="1" applyFont="1" applyBorder="1"/>
    <xf numFmtId="167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/>
    <xf numFmtId="166" fontId="6" fillId="0" borderId="1" xfId="0" applyNumberFormat="1" applyFont="1" applyBorder="1"/>
    <xf numFmtId="168" fontId="6" fillId="0" borderId="1" xfId="6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8" fontId="5" fillId="0" borderId="1" xfId="6" applyNumberFormat="1" applyFont="1" applyFill="1" applyBorder="1" applyAlignment="1">
      <alignment horizontal="right" vertical="center"/>
    </xf>
    <xf numFmtId="168" fontId="5" fillId="0" borderId="1" xfId="6" applyNumberFormat="1" applyFont="1" applyFill="1" applyBorder="1" applyAlignment="1">
      <alignment horizontal="right"/>
    </xf>
    <xf numFmtId="169" fontId="5" fillId="0" borderId="1" xfId="6" applyNumberFormat="1" applyFont="1" applyFill="1" applyBorder="1" applyAlignment="1">
      <alignment horizontal="center"/>
    </xf>
    <xf numFmtId="167" fontId="5" fillId="0" borderId="1" xfId="0" applyNumberFormat="1" applyFont="1" applyBorder="1"/>
    <xf numFmtId="166" fontId="5" fillId="0" borderId="1" xfId="0" applyNumberFormat="1" applyFont="1" applyBorder="1"/>
    <xf numFmtId="2" fontId="6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right"/>
    </xf>
    <xf numFmtId="167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8" fontId="9" fillId="0" borderId="1" xfId="6" applyNumberFormat="1" applyFont="1" applyFill="1" applyBorder="1" applyAlignment="1">
      <alignment horizontal="right"/>
    </xf>
    <xf numFmtId="168" fontId="6" fillId="0" borderId="1" xfId="6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distributed" wrapText="1"/>
    </xf>
    <xf numFmtId="0" fontId="5" fillId="0" borderId="1" xfId="0" applyFont="1" applyBorder="1" applyAlignment="1">
      <alignment horizontal="justify" vertical="distributed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wrapText="1"/>
    </xf>
    <xf numFmtId="0" fontId="23" fillId="0" borderId="0" xfId="0" applyFont="1"/>
    <xf numFmtId="168" fontId="2" fillId="0" borderId="0" xfId="0" applyNumberFormat="1" applyFont="1" applyAlignment="1">
      <alignment horizontal="center" vertical="top" wrapText="1"/>
    </xf>
    <xf numFmtId="168" fontId="24" fillId="0" borderId="1" xfId="0" applyNumberFormat="1" applyFont="1" applyBorder="1" applyAlignment="1">
      <alignment horizontal="center" vertical="top" wrapText="1"/>
    </xf>
    <xf numFmtId="49" fontId="24" fillId="0" borderId="1" xfId="0" applyNumberFormat="1" applyFont="1" applyBorder="1" applyAlignment="1">
      <alignment horizontal="left" vertical="top" wrapText="1"/>
    </xf>
    <xf numFmtId="4" fontId="24" fillId="0" borderId="1" xfId="0" applyNumberFormat="1" applyFont="1" applyBorder="1" applyAlignment="1">
      <alignment horizontal="center" vertical="top" wrapText="1"/>
    </xf>
    <xf numFmtId="168" fontId="24" fillId="0" borderId="1" xfId="0" applyNumberFormat="1" applyFont="1" applyBorder="1" applyAlignment="1">
      <alignment horizontal="left" vertical="top" wrapText="1"/>
    </xf>
    <xf numFmtId="168" fontId="43" fillId="0" borderId="0" xfId="0" applyNumberFormat="1" applyFont="1" applyAlignment="1">
      <alignment horizontal="left" vertical="top" wrapText="1"/>
    </xf>
    <xf numFmtId="168" fontId="43" fillId="0" borderId="0" xfId="0" applyNumberFormat="1" applyFont="1" applyAlignment="1">
      <alignment horizontal="center" vertical="top" wrapText="1"/>
    </xf>
    <xf numFmtId="168" fontId="5" fillId="0" borderId="0" xfId="0" applyNumberFormat="1" applyFont="1" applyAlignment="1">
      <alignment vertical="center"/>
    </xf>
    <xf numFmtId="0" fontId="37" fillId="0" borderId="7" xfId="0" applyFont="1" applyBorder="1" applyAlignment="1">
      <alignment vertical="center"/>
    </xf>
    <xf numFmtId="0" fontId="35" fillId="0" borderId="0" xfId="0" applyFont="1" applyAlignment="1">
      <alignment horizontal="right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169" fontId="5" fillId="0" borderId="1" xfId="0" applyNumberFormat="1" applyFont="1" applyBorder="1" applyAlignment="1">
      <alignment horizontal="right"/>
    </xf>
    <xf numFmtId="169" fontId="6" fillId="0" borderId="1" xfId="0" applyNumberFormat="1" applyFont="1" applyBorder="1"/>
    <xf numFmtId="169" fontId="9" fillId="0" borderId="1" xfId="0" applyNumberFormat="1" applyFont="1" applyBorder="1" applyAlignment="1">
      <alignment horizontal="right"/>
    </xf>
    <xf numFmtId="11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right" vertical="center"/>
    </xf>
    <xf numFmtId="11" fontId="5" fillId="0" borderId="0" xfId="0" applyNumberFormat="1" applyFont="1" applyAlignment="1">
      <alignment horizontal="left" vertical="center" wrapText="1"/>
    </xf>
    <xf numFmtId="168" fontId="5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/>
    </xf>
    <xf numFmtId="168" fontId="5" fillId="0" borderId="0" xfId="0" applyNumberFormat="1" applyFont="1"/>
    <xf numFmtId="49" fontId="5" fillId="0" borderId="1" xfId="0" applyNumberFormat="1" applyFont="1" applyBorder="1" applyAlignment="1">
      <alignment wrapText="1"/>
    </xf>
    <xf numFmtId="49" fontId="35" fillId="0" borderId="1" xfId="0" applyNumberFormat="1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center"/>
    </xf>
    <xf numFmtId="0" fontId="37" fillId="0" borderId="1" xfId="0" applyFont="1" applyBorder="1" applyAlignment="1">
      <alignment horizontal="justify"/>
    </xf>
    <xf numFmtId="0" fontId="35" fillId="0" borderId="1" xfId="0" applyFont="1" applyBorder="1" applyAlignment="1">
      <alignment horizontal="justify"/>
    </xf>
    <xf numFmtId="49" fontId="35" fillId="0" borderId="1" xfId="0" applyNumberFormat="1" applyFont="1" applyBorder="1" applyAlignment="1">
      <alignment horizontal="center"/>
    </xf>
    <xf numFmtId="169" fontId="9" fillId="0" borderId="1" xfId="6" applyNumberFormat="1" applyFont="1" applyFill="1" applyBorder="1" applyAlignment="1">
      <alignment horizontal="right"/>
    </xf>
    <xf numFmtId="0" fontId="5" fillId="0" borderId="0" xfId="0" applyFont="1" applyAlignment="1">
      <alignment horizontal="right" vertical="top" wrapText="1"/>
    </xf>
    <xf numFmtId="168" fontId="1" fillId="0" borderId="0" xfId="3" applyNumberFormat="1" applyFont="1" applyAlignment="1">
      <alignment horizontal="center"/>
    </xf>
    <xf numFmtId="0" fontId="2" fillId="0" borderId="1" xfId="3" applyFont="1" applyBorder="1" applyAlignment="1">
      <alignment vertical="top" wrapText="1"/>
    </xf>
    <xf numFmtId="168" fontId="2" fillId="0" borderId="1" xfId="3" applyNumberFormat="1" applyFont="1" applyBorder="1" applyAlignment="1">
      <alignment horizontal="center" vertical="top" wrapText="1"/>
    </xf>
    <xf numFmtId="0" fontId="1" fillId="0" borderId="1" xfId="3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5" fillId="0" borderId="0" xfId="0" applyFont="1" applyAlignment="1">
      <alignment wrapText="1"/>
    </xf>
    <xf numFmtId="0" fontId="37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167" fontId="45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67" fontId="22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/>
    <xf numFmtId="167" fontId="35" fillId="0" borderId="0" xfId="0" applyNumberFormat="1" applyFont="1" applyAlignment="1">
      <alignment horizontal="right"/>
    </xf>
    <xf numFmtId="172" fontId="5" fillId="0" borderId="0" xfId="0" applyNumberFormat="1" applyFont="1"/>
    <xf numFmtId="172" fontId="6" fillId="0" borderId="1" xfId="0" applyNumberFormat="1" applyFont="1" applyBorder="1" applyAlignment="1">
      <alignment horizontal="center" vertical="center" wrapText="1"/>
    </xf>
    <xf numFmtId="169" fontId="6" fillId="0" borderId="1" xfId="6" applyNumberFormat="1" applyFont="1" applyFill="1" applyBorder="1" applyAlignment="1">
      <alignment horizontal="center" vertical="center" wrapText="1"/>
    </xf>
    <xf numFmtId="169" fontId="6" fillId="0" borderId="1" xfId="6" applyNumberFormat="1" applyFont="1" applyFill="1" applyBorder="1" applyAlignment="1">
      <alignment horizontal="center" vertical="center"/>
    </xf>
    <xf numFmtId="169" fontId="5" fillId="0" borderId="1" xfId="6" applyNumberFormat="1" applyFont="1" applyFill="1" applyBorder="1" applyAlignment="1">
      <alignment horizontal="center" vertical="center"/>
    </xf>
    <xf numFmtId="169" fontId="9" fillId="0" borderId="1" xfId="6" applyNumberFormat="1" applyFont="1" applyFill="1" applyBorder="1" applyAlignment="1">
      <alignment horizontal="center" vertical="center"/>
    </xf>
    <xf numFmtId="169" fontId="6" fillId="2" borderId="1" xfId="6" applyNumberFormat="1" applyFont="1" applyFill="1" applyBorder="1" applyAlignment="1">
      <alignment horizontal="center" vertical="center"/>
    </xf>
    <xf numFmtId="169" fontId="5" fillId="2" borderId="1" xfId="6" applyNumberFormat="1" applyFont="1" applyFill="1" applyBorder="1" applyAlignment="1">
      <alignment horizontal="center" vertical="center"/>
    </xf>
    <xf numFmtId="0" fontId="5" fillId="0" borderId="1" xfId="5" applyFont="1" applyBorder="1" applyAlignment="1">
      <alignment horizontal="justify" vertical="center" wrapText="1"/>
    </xf>
    <xf numFmtId="168" fontId="9" fillId="0" borderId="1" xfId="6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/>
    <xf numFmtId="166" fontId="9" fillId="0" borderId="1" xfId="0" applyNumberFormat="1" applyFont="1" applyBorder="1"/>
    <xf numFmtId="49" fontId="46" fillId="0" borderId="1" xfId="0" applyNumberFormat="1" applyFont="1" applyBorder="1" applyAlignment="1">
      <alignment horizontal="center"/>
    </xf>
    <xf numFmtId="0" fontId="6" fillId="0" borderId="1" xfId="5" applyFont="1" applyBorder="1" applyAlignment="1">
      <alignment horizontal="justify" vertical="center" wrapText="1"/>
    </xf>
    <xf numFmtId="169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169" fontId="6" fillId="0" borderId="1" xfId="6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166" fontId="42" fillId="0" borderId="1" xfId="0" applyNumberFormat="1" applyFont="1" applyBorder="1"/>
    <xf numFmtId="0" fontId="10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36" fillId="0" borderId="0" xfId="0" applyFont="1"/>
    <xf numFmtId="0" fontId="5" fillId="0" borderId="0" xfId="0" applyFont="1" applyAlignment="1">
      <alignment horizontal="left"/>
    </xf>
    <xf numFmtId="168" fontId="5" fillId="0" borderId="2" xfId="0" applyNumberFormat="1" applyFont="1" applyBorder="1"/>
    <xf numFmtId="0" fontId="6" fillId="0" borderId="0" xfId="0" applyFont="1" applyAlignment="1">
      <alignment horizontal="left" wrapText="1"/>
    </xf>
    <xf numFmtId="172" fontId="6" fillId="0" borderId="0" xfId="0" applyNumberFormat="1" applyFont="1" applyAlignment="1">
      <alignment wrapText="1"/>
    </xf>
    <xf numFmtId="172" fontId="6" fillId="0" borderId="1" xfId="0" applyNumberFormat="1" applyFont="1" applyBorder="1" applyAlignment="1">
      <alignment horizontal="left" vertical="center" wrapText="1"/>
    </xf>
    <xf numFmtId="172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/>
    <xf numFmtId="172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8" fontId="5" fillId="0" borderId="1" xfId="0" applyNumberFormat="1" applyFont="1" applyBorder="1"/>
    <xf numFmtId="168" fontId="42" fillId="0" borderId="1" xfId="0" applyNumberFormat="1" applyFont="1" applyBorder="1" applyAlignment="1">
      <alignment horizontal="right" vertical="center"/>
    </xf>
    <xf numFmtId="170" fontId="5" fillId="0" borderId="0" xfId="0" applyNumberFormat="1" applyFont="1"/>
    <xf numFmtId="168" fontId="5" fillId="0" borderId="2" xfId="0" applyNumberFormat="1" applyFont="1" applyBorder="1" applyAlignment="1">
      <alignment horizontal="right"/>
    </xf>
    <xf numFmtId="168" fontId="6" fillId="0" borderId="0" xfId="0" applyNumberFormat="1" applyFont="1" applyAlignment="1">
      <alignment wrapText="1"/>
    </xf>
    <xf numFmtId="168" fontId="6" fillId="0" borderId="0" xfId="0" applyNumberFormat="1" applyFont="1" applyAlignment="1">
      <alignment vertical="center"/>
    </xf>
    <xf numFmtId="0" fontId="9" fillId="0" borderId="1" xfId="4" applyFont="1" applyBorder="1" applyAlignment="1">
      <alignment wrapText="1"/>
    </xf>
    <xf numFmtId="171" fontId="6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center" vertical="center"/>
    </xf>
    <xf numFmtId="171" fontId="5" fillId="0" borderId="1" xfId="6" applyNumberFormat="1" applyFont="1" applyFill="1" applyBorder="1" applyAlignment="1">
      <alignment horizontal="right" vertical="center"/>
    </xf>
    <xf numFmtId="171" fontId="6" fillId="0" borderId="1" xfId="0" applyNumberFormat="1" applyFont="1" applyBorder="1" applyAlignment="1">
      <alignment horizontal="right"/>
    </xf>
    <xf numFmtId="171" fontId="5" fillId="0" borderId="1" xfId="6" applyNumberFormat="1" applyFont="1" applyFill="1" applyBorder="1" applyAlignment="1">
      <alignment horizontal="right"/>
    </xf>
    <xf numFmtId="172" fontId="5" fillId="0" borderId="2" xfId="0" applyNumberFormat="1" applyFont="1" applyBorder="1"/>
    <xf numFmtId="172" fontId="6" fillId="0" borderId="1" xfId="0" applyNumberFormat="1" applyFont="1" applyBorder="1" applyAlignment="1">
      <alignment horizontal="right" vertical="center"/>
    </xf>
    <xf numFmtId="172" fontId="5" fillId="0" borderId="1" xfId="0" applyNumberFormat="1" applyFont="1" applyBorder="1" applyAlignment="1">
      <alignment horizontal="right" vertical="center"/>
    </xf>
    <xf numFmtId="172" fontId="5" fillId="0" borderId="0" xfId="0" applyNumberFormat="1" applyFont="1" applyAlignment="1">
      <alignment horizontal="left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right"/>
    </xf>
    <xf numFmtId="172" fontId="5" fillId="0" borderId="1" xfId="0" applyNumberFormat="1" applyFont="1" applyBorder="1"/>
    <xf numFmtId="172" fontId="5" fillId="0" borderId="1" xfId="0" applyNumberFormat="1" applyFont="1" applyBorder="1" applyAlignment="1">
      <alignment vertical="center" wrapText="1"/>
    </xf>
    <xf numFmtId="172" fontId="5" fillId="0" borderId="1" xfId="0" applyNumberFormat="1" applyFont="1" applyBorder="1" applyAlignment="1">
      <alignment wrapText="1"/>
    </xf>
    <xf numFmtId="49" fontId="38" fillId="0" borderId="0" xfId="0" quotePrefix="1" applyNumberFormat="1" applyFont="1" applyAlignment="1">
      <alignment wrapText="1"/>
    </xf>
    <xf numFmtId="49" fontId="38" fillId="0" borderId="0" xfId="0" quotePrefix="1" applyNumberFormat="1" applyFont="1" applyAlignment="1">
      <alignment horizontal="center" wrapText="1"/>
    </xf>
    <xf numFmtId="168" fontId="38" fillId="0" borderId="0" xfId="0" quotePrefix="1" applyNumberFormat="1" applyFont="1" applyAlignment="1">
      <alignment horizontal="center" wrapText="1"/>
    </xf>
    <xf numFmtId="49" fontId="35" fillId="0" borderId="0" xfId="0" applyNumberFormat="1" applyFont="1"/>
    <xf numFmtId="49" fontId="35" fillId="0" borderId="0" xfId="0" applyNumberFormat="1" applyFont="1" applyAlignment="1">
      <alignment horizontal="center"/>
    </xf>
    <xf numFmtId="172" fontId="5" fillId="0" borderId="1" xfId="0" applyNumberFormat="1" applyFont="1" applyBorder="1" applyAlignment="1">
      <alignment horizontal="right"/>
    </xf>
    <xf numFmtId="172" fontId="5" fillId="0" borderId="1" xfId="0" applyNumberFormat="1" applyFont="1" applyBorder="1" applyAlignment="1">
      <alignment horizontal="right" wrapText="1"/>
    </xf>
    <xf numFmtId="168" fontId="35" fillId="0" borderId="0" xfId="0" applyNumberFormat="1" applyFont="1" applyAlignment="1">
      <alignment wrapText="1"/>
    </xf>
    <xf numFmtId="168" fontId="38" fillId="0" borderId="0" xfId="0" quotePrefix="1" applyNumberFormat="1" applyFont="1" applyAlignment="1">
      <alignment horizontal="right" wrapText="1"/>
    </xf>
    <xf numFmtId="168" fontId="35" fillId="0" borderId="0" xfId="0" applyNumberFormat="1" applyFont="1"/>
    <xf numFmtId="172" fontId="6" fillId="5" borderId="1" xfId="0" applyNumberFormat="1" applyFont="1" applyFill="1" applyBorder="1" applyAlignment="1">
      <alignment horizontal="right" vertical="center"/>
    </xf>
    <xf numFmtId="172" fontId="5" fillId="5" borderId="1" xfId="0" applyNumberFormat="1" applyFont="1" applyFill="1" applyBorder="1" applyAlignment="1">
      <alignment horizontal="right" vertical="center"/>
    </xf>
    <xf numFmtId="172" fontId="41" fillId="0" borderId="1" xfId="0" applyNumberFormat="1" applyFont="1" applyBorder="1" applyAlignment="1">
      <alignment horizontal="right" vertical="center"/>
    </xf>
    <xf numFmtId="172" fontId="6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right" vertical="center"/>
    </xf>
    <xf numFmtId="172" fontId="5" fillId="3" borderId="1" xfId="0" applyNumberFormat="1" applyFont="1" applyFill="1" applyBorder="1" applyAlignment="1">
      <alignment horizontal="center" vertical="center"/>
    </xf>
    <xf numFmtId="168" fontId="5" fillId="6" borderId="0" xfId="0" applyNumberFormat="1" applyFont="1" applyFill="1"/>
    <xf numFmtId="168" fontId="5" fillId="6" borderId="0" xfId="0" applyNumberFormat="1" applyFont="1" applyFill="1" applyAlignment="1">
      <alignment horizontal="left"/>
    </xf>
    <xf numFmtId="168" fontId="5" fillId="6" borderId="2" xfId="0" applyNumberFormat="1" applyFont="1" applyFill="1" applyBorder="1"/>
    <xf numFmtId="168" fontId="6" fillId="6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right" vertical="center"/>
    </xf>
    <xf numFmtId="164" fontId="6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 applyAlignment="1">
      <alignment horizontal="right" vertical="center"/>
    </xf>
    <xf numFmtId="168" fontId="6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right" vertical="center"/>
    </xf>
    <xf numFmtId="168" fontId="5" fillId="6" borderId="1" xfId="0" applyNumberFormat="1" applyFont="1" applyFill="1" applyBorder="1"/>
    <xf numFmtId="168" fontId="5" fillId="6" borderId="1" xfId="0" applyNumberFormat="1" applyFont="1" applyFill="1" applyBorder="1" applyAlignment="1">
      <alignment wrapText="1"/>
    </xf>
    <xf numFmtId="172" fontId="6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 applyAlignment="1">
      <alignment horizontal="right" vertical="center"/>
    </xf>
    <xf numFmtId="168" fontId="6" fillId="7" borderId="1" xfId="0" applyNumberFormat="1" applyFont="1" applyFill="1" applyBorder="1" applyAlignment="1">
      <alignment horizontal="center" vertical="center"/>
    </xf>
    <xf numFmtId="168" fontId="5" fillId="7" borderId="1" xfId="0" applyNumberFormat="1" applyFont="1" applyFill="1" applyBorder="1" applyAlignment="1">
      <alignment horizontal="center" vertical="center"/>
    </xf>
    <xf numFmtId="172" fontId="41" fillId="7" borderId="1" xfId="0" applyNumberFormat="1" applyFont="1" applyFill="1" applyBorder="1" applyAlignment="1">
      <alignment horizontal="right" vertical="center"/>
    </xf>
    <xf numFmtId="168" fontId="5" fillId="7" borderId="0" xfId="0" applyNumberFormat="1" applyFont="1" applyFill="1"/>
    <xf numFmtId="168" fontId="5" fillId="7" borderId="0" xfId="0" applyNumberFormat="1" applyFont="1" applyFill="1" applyAlignment="1">
      <alignment horizontal="left"/>
    </xf>
    <xf numFmtId="168" fontId="5" fillId="7" borderId="2" xfId="0" applyNumberFormat="1" applyFont="1" applyFill="1" applyBorder="1"/>
    <xf numFmtId="168" fontId="6" fillId="7" borderId="1" xfId="0" applyNumberFormat="1" applyFont="1" applyFill="1" applyBorder="1" applyAlignment="1">
      <alignment horizontal="center" vertical="center" wrapText="1"/>
    </xf>
    <xf numFmtId="168" fontId="48" fillId="7" borderId="1" xfId="0" applyNumberFormat="1" applyFont="1" applyFill="1" applyBorder="1" applyAlignment="1">
      <alignment horizontal="right" vertical="center"/>
    </xf>
    <xf numFmtId="168" fontId="5" fillId="7" borderId="1" xfId="0" applyNumberFormat="1" applyFont="1" applyFill="1" applyBorder="1"/>
    <xf numFmtId="168" fontId="5" fillId="7" borderId="1" xfId="0" applyNumberFormat="1" applyFont="1" applyFill="1" applyBorder="1" applyAlignment="1">
      <alignment wrapText="1"/>
    </xf>
    <xf numFmtId="164" fontId="5" fillId="6" borderId="0" xfId="0" applyNumberFormat="1" applyFont="1" applyFill="1"/>
    <xf numFmtId="164" fontId="5" fillId="7" borderId="0" xfId="0" applyNumberFormat="1" applyFont="1" applyFill="1" applyAlignment="1">
      <alignment horizontal="right"/>
    </xf>
    <xf numFmtId="164" fontId="5" fillId="6" borderId="0" xfId="0" applyNumberFormat="1" applyFont="1" applyFill="1" applyAlignment="1">
      <alignment horizontal="left"/>
    </xf>
    <xf numFmtId="164" fontId="5" fillId="6" borderId="2" xfId="0" applyNumberFormat="1" applyFont="1" applyFill="1" applyBorder="1"/>
    <xf numFmtId="164" fontId="5" fillId="7" borderId="2" xfId="0" applyNumberFormat="1" applyFont="1" applyFill="1" applyBorder="1" applyAlignment="1">
      <alignment horizontal="right"/>
    </xf>
    <xf numFmtId="164" fontId="5" fillId="7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164" fontId="5" fillId="7" borderId="1" xfId="0" applyNumberFormat="1" applyFont="1" applyFill="1" applyBorder="1" applyAlignment="1">
      <alignment horizontal="center" vertical="center"/>
    </xf>
    <xf numFmtId="164" fontId="41" fillId="6" borderId="1" xfId="0" applyNumberFormat="1" applyFont="1" applyFill="1" applyBorder="1" applyAlignment="1">
      <alignment horizontal="right" vertical="center"/>
    </xf>
    <xf numFmtId="164" fontId="41" fillId="7" borderId="1" xfId="0" applyNumberFormat="1" applyFont="1" applyFill="1" applyBorder="1" applyAlignment="1">
      <alignment horizontal="right" vertical="center"/>
    </xf>
    <xf numFmtId="164" fontId="5" fillId="6" borderId="1" xfId="0" applyNumberFormat="1" applyFont="1" applyFill="1" applyBorder="1"/>
    <xf numFmtId="164" fontId="5" fillId="7" borderId="1" xfId="0" applyNumberFormat="1" applyFont="1" applyFill="1" applyBorder="1" applyAlignment="1">
      <alignment horizontal="right"/>
    </xf>
    <xf numFmtId="164" fontId="5" fillId="6" borderId="1" xfId="0" applyNumberFormat="1" applyFont="1" applyFill="1" applyBorder="1" applyAlignment="1">
      <alignment wrapText="1"/>
    </xf>
    <xf numFmtId="164" fontId="5" fillId="7" borderId="1" xfId="0" applyNumberFormat="1" applyFont="1" applyFill="1" applyBorder="1" applyAlignment="1">
      <alignment horizontal="right" wrapText="1"/>
    </xf>
    <xf numFmtId="49" fontId="34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vertical="top"/>
    </xf>
    <xf numFmtId="0" fontId="31" fillId="0" borderId="0" xfId="0" applyFont="1"/>
    <xf numFmtId="0" fontId="37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174" fontId="9" fillId="0" borderId="1" xfId="6" applyNumberFormat="1" applyFont="1" applyFill="1" applyBorder="1" applyAlignment="1">
      <alignment horizontal="center" vertical="center"/>
    </xf>
    <xf numFmtId="174" fontId="5" fillId="0" borderId="1" xfId="6" applyNumberFormat="1" applyFont="1" applyFill="1" applyBorder="1" applyAlignment="1">
      <alignment horizontal="center"/>
    </xf>
    <xf numFmtId="174" fontId="9" fillId="0" borderId="1" xfId="0" applyNumberFormat="1" applyFont="1" applyBorder="1" applyAlignment="1">
      <alignment horizontal="right"/>
    </xf>
    <xf numFmtId="174" fontId="6" fillId="0" borderId="1" xfId="6" applyNumberFormat="1" applyFont="1" applyFill="1" applyBorder="1" applyAlignment="1">
      <alignment horizontal="center"/>
    </xf>
    <xf numFmtId="174" fontId="5" fillId="0" borderId="1" xfId="0" applyNumberFormat="1" applyFont="1" applyBorder="1" applyAlignment="1">
      <alignment horizontal="right"/>
    </xf>
    <xf numFmtId="174" fontId="9" fillId="0" borderId="1" xfId="0" applyNumberFormat="1" applyFont="1" applyBorder="1" applyAlignment="1">
      <alignment horizontal="center" vertical="center"/>
    </xf>
    <xf numFmtId="164" fontId="6" fillId="9" borderId="1" xfId="0" applyNumberFormat="1" applyFont="1" applyFill="1" applyBorder="1" applyAlignment="1">
      <alignment horizontal="right" vertical="center"/>
    </xf>
    <xf numFmtId="172" fontId="6" fillId="9" borderId="1" xfId="0" applyNumberFormat="1" applyFont="1" applyFill="1" applyBorder="1" applyAlignment="1">
      <alignment horizontal="right" vertical="center"/>
    </xf>
    <xf numFmtId="172" fontId="6" fillId="10" borderId="1" xfId="0" applyNumberFormat="1" applyFont="1" applyFill="1" applyBorder="1" applyAlignment="1">
      <alignment horizontal="right" vertical="center"/>
    </xf>
    <xf numFmtId="172" fontId="5" fillId="10" borderId="1" xfId="0" applyNumberFormat="1" applyFont="1" applyFill="1" applyBorder="1" applyAlignment="1">
      <alignment horizontal="right" vertical="center"/>
    </xf>
    <xf numFmtId="172" fontId="6" fillId="11" borderId="1" xfId="0" applyNumberFormat="1" applyFont="1" applyFill="1" applyBorder="1" applyAlignment="1">
      <alignment horizontal="right" vertical="center"/>
    </xf>
    <xf numFmtId="172" fontId="52" fillId="0" borderId="1" xfId="0" applyNumberFormat="1" applyFont="1" applyBorder="1" applyAlignment="1">
      <alignment horizontal="right" vertical="center"/>
    </xf>
    <xf numFmtId="172" fontId="52" fillId="5" borderId="1" xfId="0" applyNumberFormat="1" applyFont="1" applyFill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 wrapText="1"/>
    </xf>
    <xf numFmtId="167" fontId="46" fillId="0" borderId="1" xfId="6" applyNumberFormat="1" applyFont="1" applyFill="1" applyBorder="1" applyAlignment="1">
      <alignment horizontal="right"/>
    </xf>
    <xf numFmtId="167" fontId="47" fillId="0" borderId="1" xfId="6" applyNumberFormat="1" applyFont="1" applyFill="1" applyBorder="1" applyAlignment="1">
      <alignment horizontal="right"/>
    </xf>
    <xf numFmtId="167" fontId="44" fillId="0" borderId="1" xfId="6" applyNumberFormat="1" applyFont="1" applyFill="1" applyBorder="1" applyAlignment="1">
      <alignment horizontal="right"/>
    </xf>
    <xf numFmtId="167" fontId="9" fillId="0" borderId="1" xfId="6" applyNumberFormat="1" applyFont="1" applyFill="1" applyBorder="1" applyAlignment="1">
      <alignment horizontal="right"/>
    </xf>
    <xf numFmtId="167" fontId="5" fillId="0" borderId="1" xfId="6" applyNumberFormat="1" applyFont="1" applyFill="1" applyBorder="1" applyAlignment="1">
      <alignment horizontal="right"/>
    </xf>
    <xf numFmtId="167" fontId="46" fillId="0" borderId="1" xfId="6" applyNumberFormat="1" applyFont="1" applyFill="1" applyBorder="1" applyAlignment="1">
      <alignment horizontal="right" vertical="center"/>
    </xf>
    <xf numFmtId="167" fontId="6" fillId="0" borderId="1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right" vertical="center"/>
    </xf>
    <xf numFmtId="167" fontId="6" fillId="0" borderId="1" xfId="6" applyNumberFormat="1" applyFont="1" applyFill="1" applyBorder="1" applyAlignment="1">
      <alignment horizontal="right"/>
    </xf>
    <xf numFmtId="167" fontId="5" fillId="0" borderId="0" xfId="0" applyNumberFormat="1" applyFont="1" applyAlignment="1">
      <alignment vertical="center"/>
    </xf>
    <xf numFmtId="168" fontId="3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0" xfId="0" applyNumberFormat="1" applyFont="1" applyAlignment="1">
      <alignment horizontal="center"/>
    </xf>
    <xf numFmtId="172" fontId="5" fillId="9" borderId="1" xfId="0" applyNumberFormat="1" applyFont="1" applyFill="1" applyBorder="1" applyAlignment="1">
      <alignment horizontal="right" vertical="center"/>
    </xf>
    <xf numFmtId="172" fontId="5" fillId="0" borderId="1" xfId="0" quotePrefix="1" applyNumberFormat="1" applyFont="1" applyBorder="1" applyAlignment="1">
      <alignment horizontal="left" vertical="center" wrapText="1"/>
    </xf>
    <xf numFmtId="11" fontId="5" fillId="0" borderId="1" xfId="0" quotePrefix="1" applyNumberFormat="1" applyFont="1" applyBorder="1" applyAlignment="1">
      <alignment horizontal="left" vertical="center" wrapText="1"/>
    </xf>
    <xf numFmtId="172" fontId="48" fillId="0" borderId="1" xfId="0" applyNumberFormat="1" applyFont="1" applyBorder="1" applyAlignment="1">
      <alignment horizontal="center" vertical="center"/>
    </xf>
    <xf numFmtId="172" fontId="48" fillId="0" borderId="1" xfId="0" applyNumberFormat="1" applyFont="1" applyBorder="1" applyAlignment="1">
      <alignment horizontal="right" vertical="center"/>
    </xf>
    <xf numFmtId="172" fontId="49" fillId="0" borderId="1" xfId="0" applyNumberFormat="1" applyFont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/>
    </xf>
    <xf numFmtId="0" fontId="53" fillId="0" borderId="0" xfId="0" applyFont="1" applyAlignment="1">
      <alignment wrapText="1"/>
    </xf>
    <xf numFmtId="174" fontId="9" fillId="2" borderId="1" xfId="0" applyNumberFormat="1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172" fontId="5" fillId="6" borderId="0" xfId="0" applyNumberFormat="1" applyFont="1" applyFill="1"/>
    <xf numFmtId="172" fontId="5" fillId="6" borderId="0" xfId="0" applyNumberFormat="1" applyFont="1" applyFill="1" applyAlignment="1">
      <alignment horizontal="right"/>
    </xf>
    <xf numFmtId="172" fontId="5" fillId="6" borderId="0" xfId="0" applyNumberFormat="1" applyFont="1" applyFill="1" applyAlignment="1">
      <alignment horizontal="left"/>
    </xf>
    <xf numFmtId="172" fontId="5" fillId="6" borderId="2" xfId="0" applyNumberFormat="1" applyFont="1" applyFill="1" applyBorder="1"/>
    <xf numFmtId="172" fontId="5" fillId="6" borderId="2" xfId="0" applyNumberFormat="1" applyFont="1" applyFill="1" applyBorder="1" applyAlignment="1">
      <alignment horizontal="right"/>
    </xf>
    <xf numFmtId="172" fontId="6" fillId="6" borderId="1" xfId="0" applyNumberFormat="1" applyFont="1" applyFill="1" applyBorder="1" applyAlignment="1">
      <alignment horizontal="center" vertical="center" wrapText="1"/>
    </xf>
    <xf numFmtId="172" fontId="6" fillId="6" borderId="1" xfId="0" applyNumberFormat="1" applyFont="1" applyFill="1" applyBorder="1" applyAlignment="1">
      <alignment horizontal="right" vertical="center"/>
    </xf>
    <xf numFmtId="172" fontId="5" fillId="6" borderId="1" xfId="0" applyNumberFormat="1" applyFont="1" applyFill="1" applyBorder="1" applyAlignment="1">
      <alignment horizontal="right" vertical="center"/>
    </xf>
    <xf numFmtId="172" fontId="6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 applyAlignment="1">
      <alignment horizontal="center" vertical="center"/>
    </xf>
    <xf numFmtId="172" fontId="5" fillId="6" borderId="1" xfId="0" applyNumberFormat="1" applyFont="1" applyFill="1" applyBorder="1"/>
    <xf numFmtId="172" fontId="5" fillId="6" borderId="1" xfId="0" applyNumberFormat="1" applyFont="1" applyFill="1" applyBorder="1" applyAlignment="1">
      <alignment wrapText="1"/>
    </xf>
    <xf numFmtId="168" fontId="5" fillId="3" borderId="1" xfId="0" applyNumberFormat="1" applyFont="1" applyFill="1" applyBorder="1" applyAlignment="1">
      <alignment horizontal="right" vertical="center"/>
    </xf>
    <xf numFmtId="164" fontId="6" fillId="7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43" fontId="6" fillId="0" borderId="0" xfId="6" applyFont="1" applyAlignment="1">
      <alignment vertical="center"/>
    </xf>
    <xf numFmtId="172" fontId="6" fillId="3" borderId="1" xfId="0" applyNumberFormat="1" applyFont="1" applyFill="1" applyBorder="1" applyAlignment="1">
      <alignment horizontal="center" vertical="center"/>
    </xf>
    <xf numFmtId="172" fontId="6" fillId="11" borderId="1" xfId="0" applyNumberFormat="1" applyFont="1" applyFill="1" applyBorder="1" applyAlignment="1">
      <alignment horizontal="center" vertical="center"/>
    </xf>
    <xf numFmtId="172" fontId="6" fillId="12" borderId="1" xfId="0" applyNumberFormat="1" applyFont="1" applyFill="1" applyBorder="1" applyAlignment="1">
      <alignment horizontal="center" vertical="center"/>
    </xf>
    <xf numFmtId="172" fontId="6" fillId="3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9" fontId="5" fillId="0" borderId="1" xfId="6" applyNumberFormat="1" applyFont="1" applyFill="1" applyBorder="1" applyAlignment="1">
      <alignment horizontal="left"/>
    </xf>
    <xf numFmtId="167" fontId="6" fillId="0" borderId="1" xfId="6" applyNumberFormat="1" applyFont="1" applyFill="1" applyBorder="1" applyAlignment="1">
      <alignment horizontal="right" vertical="center"/>
    </xf>
    <xf numFmtId="167" fontId="3" fillId="0" borderId="1" xfId="0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165" fontId="6" fillId="0" borderId="1" xfId="6" applyNumberFormat="1" applyFont="1" applyFill="1" applyBorder="1" applyAlignment="1">
      <alignment horizontal="center" vertical="center"/>
    </xf>
    <xf numFmtId="165" fontId="5" fillId="0" borderId="1" xfId="6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center" wrapText="1"/>
    </xf>
    <xf numFmtId="0" fontId="54" fillId="0" borderId="0" xfId="0" applyFont="1" applyAlignment="1">
      <alignment horizontal="right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5" fillId="0" borderId="0" xfId="0" applyFont="1"/>
    <xf numFmtId="0" fontId="54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167" fontId="9" fillId="2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/>
    <xf numFmtId="0" fontId="0" fillId="0" borderId="1" xfId="0" applyBorder="1"/>
    <xf numFmtId="0" fontId="9" fillId="0" borderId="7" xfId="0" applyFont="1" applyBorder="1" applyAlignment="1">
      <alignment wrapText="1"/>
    </xf>
    <xf numFmtId="49" fontId="8" fillId="0" borderId="7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/>
    </xf>
    <xf numFmtId="167" fontId="9" fillId="0" borderId="7" xfId="0" applyNumberFormat="1" applyFont="1" applyBorder="1" applyAlignment="1">
      <alignment horizontal="right"/>
    </xf>
    <xf numFmtId="167" fontId="35" fillId="0" borderId="1" xfId="0" applyNumberFormat="1" applyFont="1" applyBorder="1"/>
    <xf numFmtId="167" fontId="37" fillId="0" borderId="1" xfId="0" applyNumberFormat="1" applyFont="1" applyBorder="1"/>
    <xf numFmtId="167" fontId="5" fillId="0" borderId="0" xfId="0" applyNumberFormat="1" applyFont="1"/>
    <xf numFmtId="1" fontId="6" fillId="0" borderId="1" xfId="0" applyNumberFormat="1" applyFont="1" applyBorder="1" applyAlignment="1">
      <alignment wrapText="1"/>
    </xf>
    <xf numFmtId="167" fontId="6" fillId="0" borderId="1" xfId="6" applyNumberFormat="1" applyFont="1" applyFill="1" applyBorder="1" applyAlignment="1">
      <alignment wrapText="1"/>
    </xf>
    <xf numFmtId="167" fontId="5" fillId="0" borderId="1" xfId="6" applyNumberFormat="1" applyFont="1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66" fontId="1" fillId="0" borderId="0" xfId="0" applyNumberFormat="1" applyFont="1"/>
    <xf numFmtId="166" fontId="6" fillId="0" borderId="0" xfId="0" applyNumberFormat="1" applyFont="1" applyAlignment="1">
      <alignment horizontal="center"/>
    </xf>
    <xf numFmtId="166" fontId="0" fillId="0" borderId="0" xfId="0" applyNumberFormat="1" applyAlignment="1">
      <alignment horizontal="right"/>
    </xf>
    <xf numFmtId="166" fontId="20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justify" vertical="distributed"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167" fontId="6" fillId="2" borderId="1" xfId="0" applyNumberFormat="1" applyFont="1" applyFill="1" applyBorder="1"/>
    <xf numFmtId="165" fontId="5" fillId="0" borderId="1" xfId="0" applyNumberFormat="1" applyFont="1" applyBorder="1" applyAlignment="1"/>
    <xf numFmtId="166" fontId="5" fillId="0" borderId="1" xfId="0" applyNumberFormat="1" applyFont="1" applyBorder="1" applyAlignment="1"/>
    <xf numFmtId="167" fontId="6" fillId="0" borderId="1" xfId="0" applyNumberFormat="1" applyFont="1" applyBorder="1" applyAlignment="1"/>
    <xf numFmtId="174" fontId="9" fillId="0" borderId="1" xfId="0" applyNumberFormat="1" applyFont="1" applyBorder="1" applyAlignment="1"/>
    <xf numFmtId="167" fontId="9" fillId="0" borderId="1" xfId="0" applyNumberFormat="1" applyFont="1" applyBorder="1" applyAlignment="1"/>
    <xf numFmtId="174" fontId="9" fillId="0" borderId="1" xfId="6" applyNumberFormat="1" applyFont="1" applyFill="1" applyBorder="1" applyAlignment="1"/>
    <xf numFmtId="166" fontId="9" fillId="0" borderId="1" xfId="0" applyNumberFormat="1" applyFont="1" applyBorder="1" applyAlignment="1"/>
    <xf numFmtId="174" fontId="5" fillId="0" borderId="1" xfId="0" applyNumberFormat="1" applyFont="1" applyBorder="1" applyAlignment="1"/>
    <xf numFmtId="2" fontId="9" fillId="0" borderId="1" xfId="0" applyNumberFormat="1" applyFont="1" applyBorder="1" applyAlignment="1"/>
    <xf numFmtId="167" fontId="5" fillId="0" borderId="1" xfId="6" applyNumberFormat="1" applyFont="1" applyFill="1" applyBorder="1" applyAlignment="1"/>
    <xf numFmtId="172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left"/>
    </xf>
    <xf numFmtId="170" fontId="5" fillId="0" borderId="2" xfId="0" applyNumberFormat="1" applyFont="1" applyBorder="1"/>
    <xf numFmtId="170" fontId="6" fillId="0" borderId="1" xfId="0" applyNumberFormat="1" applyFont="1" applyBorder="1" applyAlignment="1">
      <alignment horizontal="center" vertical="center" wrapText="1"/>
    </xf>
    <xf numFmtId="170" fontId="6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/>
    </xf>
    <xf numFmtId="172" fontId="1" fillId="0" borderId="1" xfId="0" applyNumberFormat="1" applyFont="1" applyBorder="1" applyAlignment="1">
      <alignment horizontal="left" vertical="center" wrapText="1"/>
    </xf>
    <xf numFmtId="172" fontId="2" fillId="0" borderId="1" xfId="0" applyNumberFormat="1" applyFont="1" applyBorder="1" applyAlignment="1">
      <alignment horizontal="left" vertical="center" wrapText="1"/>
    </xf>
    <xf numFmtId="172" fontId="5" fillId="0" borderId="0" xfId="0" applyNumberFormat="1" applyFont="1" applyAlignment="1">
      <alignment horizontal="left" vertical="center" wrapText="1"/>
    </xf>
    <xf numFmtId="172" fontId="6" fillId="0" borderId="1" xfId="0" applyNumberFormat="1" applyFont="1" applyBorder="1" applyAlignment="1">
      <alignment horizontal="center"/>
    </xf>
    <xf numFmtId="172" fontId="5" fillId="0" borderId="1" xfId="0" applyNumberFormat="1" applyFont="1" applyBorder="1" applyAlignment="1">
      <alignment horizontal="center"/>
    </xf>
    <xf numFmtId="172" fontId="6" fillId="0" borderId="1" xfId="0" applyNumberFormat="1" applyFont="1" applyBorder="1" applyAlignment="1">
      <alignment vertical="center" wrapText="1"/>
    </xf>
    <xf numFmtId="170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/>
    <xf numFmtId="170" fontId="1" fillId="0" borderId="1" xfId="0" applyNumberFormat="1" applyFont="1" applyBorder="1" applyAlignment="1">
      <alignment horizontal="center" vertical="center"/>
    </xf>
    <xf numFmtId="170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168" fontId="5" fillId="0" borderId="0" xfId="0" applyNumberFormat="1" applyFont="1" applyFill="1" applyAlignment="1">
      <alignment horizontal="right" vertical="center"/>
    </xf>
    <xf numFmtId="167" fontId="0" fillId="0" borderId="1" xfId="0" applyNumberFormat="1" applyBorder="1"/>
    <xf numFmtId="175" fontId="6" fillId="0" borderId="1" xfId="6" applyNumberFormat="1" applyFont="1" applyFill="1" applyBorder="1" applyAlignment="1">
      <alignment horizontal="right" vertical="center" wrapText="1"/>
    </xf>
    <xf numFmtId="175" fontId="6" fillId="0" borderId="1" xfId="6" applyNumberFormat="1" applyFont="1" applyFill="1" applyBorder="1" applyAlignment="1">
      <alignment wrapText="1"/>
    </xf>
    <xf numFmtId="175" fontId="6" fillId="0" borderId="1" xfId="6" applyNumberFormat="1" applyFont="1" applyFill="1" applyBorder="1" applyAlignment="1">
      <alignment horizontal="right"/>
    </xf>
    <xf numFmtId="175" fontId="44" fillId="0" borderId="1" xfId="6" applyNumberFormat="1" applyFont="1" applyFill="1" applyBorder="1" applyAlignment="1">
      <alignment horizontal="right"/>
    </xf>
    <xf numFmtId="175" fontId="5" fillId="0" borderId="1" xfId="0" applyNumberFormat="1" applyFont="1" applyBorder="1" applyAlignment="1">
      <alignment horizontal="right"/>
    </xf>
    <xf numFmtId="175" fontId="46" fillId="0" borderId="1" xfId="6" applyNumberFormat="1" applyFont="1" applyFill="1" applyBorder="1" applyAlignment="1">
      <alignment horizontal="right"/>
    </xf>
    <xf numFmtId="175" fontId="5" fillId="0" borderId="1" xfId="6" applyNumberFormat="1" applyFont="1" applyFill="1" applyBorder="1" applyAlignment="1">
      <alignment horizontal="right"/>
    </xf>
    <xf numFmtId="175" fontId="47" fillId="0" borderId="1" xfId="6" applyNumberFormat="1" applyFont="1" applyFill="1" applyBorder="1" applyAlignment="1">
      <alignment horizontal="right"/>
    </xf>
    <xf numFmtId="175" fontId="9" fillId="0" borderId="1" xfId="0" applyNumberFormat="1" applyFont="1" applyBorder="1" applyAlignment="1">
      <alignment horizontal="right"/>
    </xf>
    <xf numFmtId="175" fontId="9" fillId="0" borderId="1" xfId="6" applyNumberFormat="1" applyFont="1" applyFill="1" applyBorder="1" applyAlignment="1">
      <alignment horizontal="right"/>
    </xf>
    <xf numFmtId="175" fontId="9" fillId="0" borderId="1" xfId="6" applyNumberFormat="1" applyFont="1" applyFill="1" applyBorder="1" applyAlignment="1">
      <alignment horizontal="right" vertical="center"/>
    </xf>
    <xf numFmtId="175" fontId="6" fillId="0" borderId="1" xfId="0" applyNumberFormat="1" applyFont="1" applyBorder="1" applyAlignment="1">
      <alignment horizontal="right"/>
    </xf>
    <xf numFmtId="175" fontId="6" fillId="0" borderId="1" xfId="6" applyNumberFormat="1" applyFont="1" applyFill="1" applyBorder="1" applyAlignment="1">
      <alignment horizontal="right" vertical="center"/>
    </xf>
    <xf numFmtId="175" fontId="5" fillId="0" borderId="1" xfId="6" applyNumberFormat="1" applyFont="1" applyFill="1" applyBorder="1" applyAlignment="1">
      <alignment horizontal="right" vertical="center"/>
    </xf>
    <xf numFmtId="175" fontId="5" fillId="3" borderId="1" xfId="6" applyNumberFormat="1" applyFont="1" applyFill="1" applyBorder="1" applyAlignment="1">
      <alignment horizontal="right"/>
    </xf>
    <xf numFmtId="175" fontId="9" fillId="0" borderId="7" xfId="0" applyNumberFormat="1" applyFont="1" applyBorder="1" applyAlignment="1">
      <alignment horizontal="right"/>
    </xf>
    <xf numFmtId="175" fontId="5" fillId="3" borderId="1" xfId="0" applyNumberFormat="1" applyFont="1" applyFill="1" applyBorder="1" applyAlignment="1">
      <alignment horizontal="right"/>
    </xf>
    <xf numFmtId="175" fontId="3" fillId="0" borderId="1" xfId="0" applyNumberFormat="1" applyFont="1" applyBorder="1" applyAlignment="1">
      <alignment horizontal="right"/>
    </xf>
    <xf numFmtId="175" fontId="9" fillId="3" borderId="1" xfId="0" applyNumberFormat="1" applyFont="1" applyFill="1" applyBorder="1" applyAlignment="1">
      <alignment horizontal="right"/>
    </xf>
    <xf numFmtId="175" fontId="0" fillId="0" borderId="1" xfId="0" applyNumberFormat="1" applyBorder="1" applyAlignment="1">
      <alignment horizontal="right"/>
    </xf>
    <xf numFmtId="175" fontId="6" fillId="0" borderId="1" xfId="6" applyNumberFormat="1" applyFont="1" applyFill="1" applyBorder="1" applyAlignment="1"/>
    <xf numFmtId="175" fontId="5" fillId="0" borderId="1" xfId="6" applyNumberFormat="1" applyFont="1" applyFill="1" applyBorder="1" applyAlignment="1"/>
    <xf numFmtId="175" fontId="5" fillId="0" borderId="1" xfId="0" applyNumberFormat="1" applyFont="1" applyBorder="1" applyAlignment="1"/>
    <xf numFmtId="175" fontId="5" fillId="2" borderId="1" xfId="6" applyNumberFormat="1" applyFont="1" applyFill="1" applyBorder="1" applyAlignment="1"/>
    <xf numFmtId="175" fontId="6" fillId="0" borderId="1" xfId="0" applyNumberFormat="1" applyFont="1" applyBorder="1" applyAlignment="1"/>
    <xf numFmtId="175" fontId="8" fillId="0" borderId="1" xfId="0" applyNumberFormat="1" applyFont="1" applyBorder="1" applyAlignment="1"/>
    <xf numFmtId="175" fontId="9" fillId="0" borderId="1" xfId="0" applyNumberFormat="1" applyFont="1" applyBorder="1" applyAlignment="1"/>
    <xf numFmtId="175" fontId="6" fillId="2" borderId="1" xfId="6" applyNumberFormat="1" applyFont="1" applyFill="1" applyBorder="1" applyAlignment="1"/>
    <xf numFmtId="175" fontId="6" fillId="0" borderId="1" xfId="6" applyNumberFormat="1" applyFont="1" applyFill="1" applyBorder="1" applyAlignment="1">
      <alignment horizontal="center" vertical="center"/>
    </xf>
    <xf numFmtId="175" fontId="5" fillId="0" borderId="1" xfId="6" applyNumberFormat="1" applyFont="1" applyFill="1" applyBorder="1" applyAlignment="1">
      <alignment horizontal="center" vertical="center"/>
    </xf>
    <xf numFmtId="175" fontId="5" fillId="2" borderId="1" xfId="0" applyNumberFormat="1" applyFont="1" applyFill="1" applyBorder="1" applyAlignment="1"/>
    <xf numFmtId="167" fontId="20" fillId="0" borderId="1" xfId="0" applyNumberFormat="1" applyFont="1" applyBorder="1"/>
    <xf numFmtId="167" fontId="3" fillId="0" borderId="1" xfId="0" applyNumberFormat="1" applyFont="1" applyBorder="1"/>
    <xf numFmtId="167" fontId="39" fillId="0" borderId="1" xfId="0" applyNumberFormat="1" applyFont="1" applyBorder="1"/>
    <xf numFmtId="167" fontId="39" fillId="0" borderId="0" xfId="0" applyNumberFormat="1" applyFont="1"/>
    <xf numFmtId="167" fontId="21" fillId="0" borderId="1" xfId="0" applyNumberFormat="1" applyFont="1" applyBorder="1"/>
    <xf numFmtId="167" fontId="23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/>
    <xf numFmtId="0" fontId="13" fillId="0" borderId="0" xfId="0" applyFont="1" applyAlignment="1"/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4" fillId="0" borderId="0" xfId="0" applyFont="1" applyBorder="1" applyAlignment="1">
      <alignment wrapText="1"/>
    </xf>
    <xf numFmtId="164" fontId="14" fillId="0" borderId="1" xfId="0" applyNumberFormat="1" applyFont="1" applyFill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168" fontId="14" fillId="0" borderId="1" xfId="0" applyNumberFormat="1" applyFont="1" applyFill="1" applyBorder="1" applyAlignment="1">
      <alignment wrapText="1"/>
    </xf>
    <xf numFmtId="168" fontId="5" fillId="0" borderId="0" xfId="0" applyNumberFormat="1" applyFont="1" applyFill="1"/>
    <xf numFmtId="168" fontId="5" fillId="4" borderId="0" xfId="0" applyNumberFormat="1" applyFont="1" applyFill="1"/>
    <xf numFmtId="168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left"/>
    </xf>
    <xf numFmtId="168" fontId="5" fillId="4" borderId="0" xfId="0" applyNumberFormat="1" applyFont="1" applyFill="1" applyAlignment="1">
      <alignment horizontal="left"/>
    </xf>
    <xf numFmtId="168" fontId="5" fillId="0" borderId="2" xfId="0" applyNumberFormat="1" applyFont="1" applyFill="1" applyBorder="1"/>
    <xf numFmtId="168" fontId="5" fillId="4" borderId="2" xfId="0" applyNumberFormat="1" applyFont="1" applyFill="1" applyBorder="1"/>
    <xf numFmtId="168" fontId="6" fillId="0" borderId="3" xfId="0" applyNumberFormat="1" applyFont="1" applyFill="1" applyBorder="1" applyAlignment="1">
      <alignment horizontal="center" vertical="center" wrapText="1"/>
    </xf>
    <xf numFmtId="168" fontId="6" fillId="4" borderId="3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6" fillId="4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right" vertical="center"/>
    </xf>
    <xf numFmtId="168" fontId="5" fillId="0" borderId="1" xfId="0" applyNumberFormat="1" applyFont="1" applyFill="1" applyBorder="1" applyAlignment="1">
      <alignment horizontal="right" vertical="center"/>
    </xf>
    <xf numFmtId="168" fontId="5" fillId="4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68" fontId="5" fillId="9" borderId="1" xfId="0" applyNumberFormat="1" applyFont="1" applyFill="1" applyBorder="1" applyAlignment="1">
      <alignment horizontal="right" vertical="center"/>
    </xf>
    <xf numFmtId="168" fontId="6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horizontal="center" vertical="center"/>
    </xf>
    <xf numFmtId="168" fontId="5" fillId="4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68" fontId="57" fillId="0" borderId="1" xfId="0" applyNumberFormat="1" applyFont="1" applyFill="1" applyBorder="1" applyAlignment="1">
      <alignment horizontal="right" vertical="center"/>
    </xf>
    <xf numFmtId="168" fontId="57" fillId="0" borderId="1" xfId="0" applyNumberFormat="1" applyFont="1" applyFill="1" applyBorder="1" applyAlignment="1">
      <alignment horizontal="center" vertical="center"/>
    </xf>
    <xf numFmtId="168" fontId="5" fillId="5" borderId="1" xfId="0" applyNumberFormat="1" applyFont="1" applyFill="1" applyBorder="1" applyAlignment="1">
      <alignment horizontal="right" vertical="center"/>
    </xf>
    <xf numFmtId="168" fontId="57" fillId="0" borderId="1" xfId="0" applyNumberFormat="1" applyFont="1" applyBorder="1" applyAlignment="1">
      <alignment horizontal="right" vertical="center"/>
    </xf>
    <xf numFmtId="168" fontId="6" fillId="5" borderId="1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center"/>
    </xf>
    <xf numFmtId="168" fontId="5" fillId="4" borderId="0" xfId="0" applyNumberFormat="1" applyFont="1" applyFill="1" applyAlignment="1">
      <alignment horizontal="center"/>
    </xf>
    <xf numFmtId="168" fontId="5" fillId="0" borderId="1" xfId="0" applyNumberFormat="1" applyFont="1" applyFill="1" applyBorder="1"/>
    <xf numFmtId="168" fontId="5" fillId="0" borderId="1" xfId="0" applyNumberFormat="1" applyFont="1" applyFill="1" applyBorder="1" applyAlignment="1">
      <alignment wrapText="1"/>
    </xf>
    <xf numFmtId="168" fontId="5" fillId="0" borderId="1" xfId="0" applyNumberFormat="1" applyFont="1" applyBorder="1" applyAlignment="1">
      <alignment wrapText="1"/>
    </xf>
    <xf numFmtId="165" fontId="5" fillId="2" borderId="1" xfId="0" applyNumberFormat="1" applyFont="1" applyFill="1" applyBorder="1" applyAlignment="1">
      <alignment horizontal="right"/>
    </xf>
    <xf numFmtId="0" fontId="53" fillId="0" borderId="1" xfId="0" applyFont="1" applyBorder="1" applyAlignment="1">
      <alignment wrapText="1"/>
    </xf>
    <xf numFmtId="166" fontId="9" fillId="2" borderId="1" xfId="0" applyNumberFormat="1" applyFont="1" applyFill="1" applyBorder="1" applyAlignment="1">
      <alignment horizontal="right"/>
    </xf>
    <xf numFmtId="167" fontId="6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/>
    <xf numFmtId="167" fontId="9" fillId="0" borderId="1" xfId="6" applyNumberFormat="1" applyFont="1" applyFill="1" applyBorder="1" applyAlignment="1"/>
    <xf numFmtId="167" fontId="6" fillId="2" borderId="1" xfId="6" applyNumberFormat="1" applyFont="1" applyFill="1" applyBorder="1" applyAlignment="1"/>
    <xf numFmtId="167" fontId="5" fillId="2" borderId="1" xfId="6" applyNumberFormat="1" applyFont="1" applyFill="1" applyBorder="1" applyAlignment="1"/>
    <xf numFmtId="167" fontId="5" fillId="0" borderId="1" xfId="6" applyNumberFormat="1" applyFont="1" applyFill="1" applyBorder="1" applyAlignment="1">
      <alignment horizontal="right" vertical="center"/>
    </xf>
    <xf numFmtId="1" fontId="6" fillId="0" borderId="1" xfId="6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/>
    </xf>
    <xf numFmtId="172" fontId="6" fillId="0" borderId="1" xfId="0" applyNumberFormat="1" applyFont="1" applyFill="1" applyBorder="1" applyAlignment="1">
      <alignment horizontal="right" vertical="center"/>
    </xf>
    <xf numFmtId="168" fontId="42" fillId="0" borderId="0" xfId="0" applyNumberFormat="1" applyFont="1" applyFill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56" fillId="3" borderId="1" xfId="0" applyNumberFormat="1" applyFont="1" applyFill="1" applyBorder="1" applyAlignment="1">
      <alignment horizontal="center" vertical="center"/>
    </xf>
    <xf numFmtId="17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3" fontId="6" fillId="3" borderId="1" xfId="6" applyFont="1" applyFill="1" applyBorder="1" applyAlignment="1">
      <alignment horizontal="center" vertical="center"/>
    </xf>
    <xf numFmtId="168" fontId="56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right" vertical="center"/>
    </xf>
    <xf numFmtId="0" fontId="36" fillId="0" borderId="1" xfId="0" applyFont="1" applyBorder="1"/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8" fontId="58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67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wrapText="1"/>
    </xf>
    <xf numFmtId="176" fontId="6" fillId="2" borderId="1" xfId="6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right"/>
    </xf>
    <xf numFmtId="167" fontId="6" fillId="2" borderId="1" xfId="0" applyNumberFormat="1" applyFont="1" applyFill="1" applyBorder="1" applyAlignment="1">
      <alignment horizontal="right"/>
    </xf>
    <xf numFmtId="169" fontId="6" fillId="2" borderId="1" xfId="6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7" fontId="5" fillId="2" borderId="1" xfId="0" applyNumberFormat="1" applyFont="1" applyFill="1" applyBorder="1"/>
    <xf numFmtId="165" fontId="6" fillId="2" borderId="1" xfId="0" applyNumberFormat="1" applyFont="1" applyFill="1" applyBorder="1"/>
    <xf numFmtId="166" fontId="6" fillId="2" borderId="1" xfId="0" applyNumberFormat="1" applyFont="1" applyFill="1" applyBorder="1"/>
    <xf numFmtId="166" fontId="5" fillId="2" borderId="1" xfId="0" applyNumberFormat="1" applyFont="1" applyFill="1" applyBorder="1"/>
    <xf numFmtId="0" fontId="20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177" fontId="6" fillId="0" borderId="1" xfId="6" applyNumberFormat="1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/>
    </xf>
    <xf numFmtId="166" fontId="5" fillId="0" borderId="1" xfId="6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/>
    </xf>
    <xf numFmtId="166" fontId="6" fillId="2" borderId="1" xfId="6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166" fontId="6" fillId="0" borderId="1" xfId="6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68" fontId="6" fillId="13" borderId="1" xfId="0" applyNumberFormat="1" applyFont="1" applyFill="1" applyBorder="1" applyAlignment="1">
      <alignment horizontal="center" vertical="center"/>
    </xf>
    <xf numFmtId="168" fontId="6" fillId="13" borderId="1" xfId="0" applyNumberFormat="1" applyFont="1" applyFill="1" applyBorder="1" applyAlignment="1">
      <alignment horizontal="right" vertical="center"/>
    </xf>
    <xf numFmtId="168" fontId="41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8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167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72" fontId="5" fillId="0" borderId="1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72" fontId="5" fillId="0" borderId="9" xfId="0" applyNumberFormat="1" applyFont="1" applyBorder="1" applyAlignment="1">
      <alignment horizontal="center" vertical="center"/>
    </xf>
    <xf numFmtId="172" fontId="5" fillId="0" borderId="10" xfId="0" applyNumberFormat="1" applyFont="1" applyBorder="1" applyAlignment="1">
      <alignment horizontal="center" vertical="center"/>
    </xf>
    <xf numFmtId="172" fontId="5" fillId="0" borderId="11" xfId="0" applyNumberFormat="1" applyFont="1" applyBorder="1" applyAlignment="1">
      <alignment horizontal="center" vertical="center"/>
    </xf>
    <xf numFmtId="172" fontId="5" fillId="0" borderId="12" xfId="0" applyNumberFormat="1" applyFont="1" applyBorder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172" fontId="5" fillId="0" borderId="13" xfId="0" applyNumberFormat="1" applyFont="1" applyBorder="1" applyAlignment="1">
      <alignment horizontal="center" vertical="center"/>
    </xf>
    <xf numFmtId="172" fontId="5" fillId="0" borderId="14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15" xfId="0" applyNumberFormat="1" applyFont="1" applyBorder="1" applyAlignment="1">
      <alignment horizontal="center" vertical="center"/>
    </xf>
    <xf numFmtId="172" fontId="6" fillId="0" borderId="5" xfId="0" applyNumberFormat="1" applyFont="1" applyBorder="1" applyAlignment="1">
      <alignment horizontal="center" vertical="center" wrapText="1"/>
    </xf>
    <xf numFmtId="172" fontId="6" fillId="0" borderId="4" xfId="0" applyNumberFormat="1" applyFont="1" applyBorder="1" applyAlignment="1">
      <alignment horizontal="center" vertical="center" wrapText="1"/>
    </xf>
    <xf numFmtId="172" fontId="6" fillId="0" borderId="0" xfId="0" applyNumberFormat="1" applyFont="1" applyAlignment="1">
      <alignment horizontal="center"/>
    </xf>
    <xf numFmtId="172" fontId="6" fillId="8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center"/>
    </xf>
    <xf numFmtId="172" fontId="6" fillId="4" borderId="0" xfId="0" applyNumberFormat="1" applyFont="1" applyFill="1" applyAlignment="1">
      <alignment horizontal="right"/>
    </xf>
    <xf numFmtId="173" fontId="6" fillId="4" borderId="0" xfId="0" applyNumberFormat="1" applyFont="1" applyFill="1" applyAlignment="1">
      <alignment horizontal="center"/>
    </xf>
    <xf numFmtId="172" fontId="6" fillId="0" borderId="0" xfId="0" applyNumberFormat="1" applyFont="1" applyFill="1" applyAlignment="1">
      <alignment horizontal="center"/>
    </xf>
    <xf numFmtId="172" fontId="6" fillId="0" borderId="0" xfId="0" applyNumberFormat="1" applyFont="1" applyAlignment="1">
      <alignment horizontal="center" wrapText="1"/>
    </xf>
    <xf numFmtId="172" fontId="6" fillId="8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center" wrapText="1"/>
    </xf>
    <xf numFmtId="172" fontId="6" fillId="4" borderId="0" xfId="0" applyNumberFormat="1" applyFont="1" applyFill="1" applyAlignment="1">
      <alignment horizontal="right" wrapText="1"/>
    </xf>
    <xf numFmtId="173" fontId="6" fillId="4" borderId="0" xfId="0" applyNumberFormat="1" applyFont="1" applyFill="1" applyAlignment="1">
      <alignment horizontal="center" wrapText="1"/>
    </xf>
    <xf numFmtId="172" fontId="6" fillId="0" borderId="0" xfId="0" applyNumberFormat="1" applyFont="1" applyFill="1" applyAlignment="1">
      <alignment horizontal="center" wrapText="1"/>
    </xf>
    <xf numFmtId="172" fontId="6" fillId="0" borderId="1" xfId="0" applyNumberFormat="1" applyFont="1" applyBorder="1" applyAlignment="1">
      <alignment horizontal="center" vertical="center" wrapText="1"/>
    </xf>
    <xf numFmtId="172" fontId="13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 wrapText="1"/>
    </xf>
    <xf numFmtId="172" fontId="6" fillId="0" borderId="6" xfId="0" applyNumberFormat="1" applyFont="1" applyBorder="1" applyAlignment="1">
      <alignment horizontal="center" vertical="center" wrapText="1"/>
    </xf>
    <xf numFmtId="172" fontId="6" fillId="0" borderId="7" xfId="0" applyNumberFormat="1" applyFont="1" applyBorder="1" applyAlignment="1">
      <alignment horizontal="center" vertical="center" wrapText="1"/>
    </xf>
    <xf numFmtId="172" fontId="6" fillId="0" borderId="3" xfId="0" applyNumberFormat="1" applyFont="1" applyBorder="1" applyAlignment="1">
      <alignment horizontal="center" vertical="center" wrapText="1"/>
    </xf>
    <xf numFmtId="0" fontId="34" fillId="0" borderId="5" xfId="0" quotePrefix="1" applyFont="1" applyBorder="1" applyAlignment="1">
      <alignment horizontal="center" vertical="top" wrapText="1"/>
    </xf>
    <xf numFmtId="0" fontId="34" fillId="0" borderId="4" xfId="0" quotePrefix="1" applyFont="1" applyBorder="1" applyAlignment="1">
      <alignment horizontal="center" vertical="top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right"/>
    </xf>
    <xf numFmtId="49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center"/>
    </xf>
    <xf numFmtId="49" fontId="6" fillId="0" borderId="0" xfId="3" applyNumberFormat="1" applyFont="1" applyAlignment="1">
      <alignment horizontal="center" wrapText="1"/>
    </xf>
    <xf numFmtId="168" fontId="6" fillId="0" borderId="0" xfId="3" applyNumberFormat="1" applyFont="1" applyAlignment="1">
      <alignment horizontal="center" wrapText="1"/>
    </xf>
    <xf numFmtId="11" fontId="37" fillId="0" borderId="7" xfId="0" quotePrefix="1" applyNumberFormat="1" applyFont="1" applyBorder="1" applyAlignment="1">
      <alignment horizontal="center" vertical="center" wrapText="1"/>
    </xf>
    <xf numFmtId="11" fontId="37" fillId="0" borderId="3" xfId="0" quotePrefix="1" applyNumberFormat="1" applyFont="1" applyBorder="1" applyAlignment="1">
      <alignment horizontal="center" vertical="center" wrapText="1"/>
    </xf>
    <xf numFmtId="49" fontId="37" fillId="0" borderId="7" xfId="0" quotePrefix="1" applyNumberFormat="1" applyFont="1" applyBorder="1" applyAlignment="1">
      <alignment horizontal="center" vertical="center" wrapText="1"/>
    </xf>
    <xf numFmtId="49" fontId="37" fillId="0" borderId="3" xfId="0" quotePrefix="1" applyNumberFormat="1" applyFont="1" applyBorder="1" applyAlignment="1">
      <alignment horizontal="center" vertical="center" wrapText="1"/>
    </xf>
    <xf numFmtId="168" fontId="37" fillId="0" borderId="7" xfId="0" quotePrefix="1" applyNumberFormat="1" applyFont="1" applyBorder="1" applyAlignment="1">
      <alignment horizontal="center" vertical="center" wrapText="1"/>
    </xf>
    <xf numFmtId="168" fontId="37" fillId="0" borderId="3" xfId="0" quotePrefix="1" applyNumberFormat="1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49" fontId="6" fillId="0" borderId="0" xfId="3" applyNumberFormat="1" applyFont="1" applyAlignment="1">
      <alignment horizontal="center" vertical="top" wrapText="1"/>
    </xf>
    <xf numFmtId="168" fontId="6" fillId="0" borderId="0" xfId="3" applyNumberFormat="1" applyFont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7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168" fontId="2" fillId="0" borderId="7" xfId="3" applyNumberFormat="1" applyFont="1" applyBorder="1" applyAlignment="1">
      <alignment horizontal="center" vertical="center" wrapText="1"/>
    </xf>
    <xf numFmtId="168" fontId="2" fillId="0" borderId="3" xfId="3" applyNumberFormat="1" applyFont="1" applyBorder="1" applyAlignment="1">
      <alignment horizontal="center" vertical="center" wrapText="1"/>
    </xf>
    <xf numFmtId="0" fontId="1" fillId="0" borderId="0" xfId="3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2" fillId="0" borderId="0" xfId="3" applyFont="1" applyAlignment="1">
      <alignment horizontal="center"/>
    </xf>
    <xf numFmtId="0" fontId="2" fillId="0" borderId="0" xfId="3" applyFont="1" applyAlignment="1">
      <alignment horizontal="center" wrapText="1"/>
    </xf>
    <xf numFmtId="4" fontId="5" fillId="0" borderId="5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4" fillId="0" borderId="0" xfId="0" applyFont="1" applyAlignment="1">
      <alignment horizontal="right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173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right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173" fontId="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173" fontId="6" fillId="0" borderId="0" xfId="0" applyNumberFormat="1" applyFont="1" applyAlignment="1">
      <alignment horizontal="center" wrapText="1"/>
    </xf>
    <xf numFmtId="168" fontId="6" fillId="0" borderId="0" xfId="0" applyNumberFormat="1" applyFont="1" applyAlignment="1">
      <alignment horizontal="center" wrapText="1"/>
    </xf>
    <xf numFmtId="172" fontId="6" fillId="6" borderId="5" xfId="0" applyNumberFormat="1" applyFont="1" applyFill="1" applyBorder="1" applyAlignment="1">
      <alignment horizontal="center" vertical="center" wrapText="1"/>
    </xf>
    <xf numFmtId="172" fontId="6" fillId="6" borderId="4" xfId="0" applyNumberFormat="1" applyFont="1" applyFill="1" applyBorder="1" applyAlignment="1">
      <alignment horizontal="center" vertical="center" wrapText="1"/>
    </xf>
    <xf numFmtId="168" fontId="6" fillId="7" borderId="5" xfId="0" applyNumberFormat="1" applyFont="1" applyFill="1" applyBorder="1" applyAlignment="1">
      <alignment horizontal="center" vertical="center" wrapText="1"/>
    </xf>
    <xf numFmtId="168" fontId="6" fillId="7" borderId="4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8" fontId="6" fillId="6" borderId="5" xfId="0" applyNumberFormat="1" applyFont="1" applyFill="1" applyBorder="1" applyAlignment="1">
      <alignment horizontal="center" vertical="center" wrapText="1"/>
    </xf>
    <xf numFmtId="168" fontId="6" fillId="6" borderId="4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51" fillId="0" borderId="1" xfId="0" applyFont="1" applyBorder="1"/>
    <xf numFmtId="49" fontId="2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8" fontId="2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168" fontId="24" fillId="0" borderId="1" xfId="0" applyNumberFormat="1" applyFont="1" applyBorder="1" applyAlignment="1">
      <alignment horizontal="center" vertical="top" wrapText="1"/>
    </xf>
    <xf numFmtId="168" fontId="2" fillId="0" borderId="2" xfId="0" applyNumberFormat="1" applyFont="1" applyBorder="1" applyAlignment="1">
      <alignment horizontal="center" vertical="top" wrapText="1"/>
    </xf>
    <xf numFmtId="168" fontId="50" fillId="0" borderId="9" xfId="0" applyNumberFormat="1" applyFont="1" applyBorder="1" applyAlignment="1">
      <alignment horizontal="center" vertical="top" wrapText="1"/>
    </xf>
    <xf numFmtId="168" fontId="50" fillId="0" borderId="11" xfId="0" applyNumberFormat="1" applyFont="1" applyBorder="1" applyAlignment="1">
      <alignment horizontal="center" vertical="top" wrapText="1"/>
    </xf>
    <xf numFmtId="168" fontId="50" fillId="0" borderId="14" xfId="0" applyNumberFormat="1" applyFont="1" applyBorder="1" applyAlignment="1">
      <alignment horizontal="center" vertical="top" wrapText="1"/>
    </xf>
    <xf numFmtId="168" fontId="50" fillId="0" borderId="15" xfId="0" applyNumberFormat="1" applyFont="1" applyBorder="1" applyAlignment="1">
      <alignment horizontal="center" vertical="top" wrapText="1"/>
    </xf>
    <xf numFmtId="168" fontId="50" fillId="0" borderId="1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168" fontId="2" fillId="0" borderId="0" xfId="0" applyNumberFormat="1" applyFont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</cellXfs>
  <cellStyles count="7">
    <cellStyle name="xl44" xfId="1"/>
    <cellStyle name="Обычный" xfId="0" builtinId="0"/>
    <cellStyle name="Обычный 2" xfId="2"/>
    <cellStyle name="Обычный 2 2" xfId="3"/>
    <cellStyle name="Обычный 3" xfId="4"/>
    <cellStyle name="Обычный_Доходы 2012 приложение 2.3,8,9 окончат" xf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102;&#1076;&#1078;&#1077;&#1090;%20&#1085;&#1072;%202022-2024\&#1056;&#1045;&#1064;&#1045;&#1053;&#1048;&#1045;%20&#1044;&#1059;&#1052;&#1067;%20&#1054;%20&#1041;&#1070;&#1044;&#1046;&#1045;&#1058;&#1045;%20&#1053;&#1040;%202022-2024%20&#1043;&#1054;&#1044;&#1067;\&#1056;&#1077;&#1096;&#1077;&#1085;&#1080;&#1077;%20&#1044;&#1091;&#1084;&#1099;%20&#1086;&#1090;%2022.12.2021\&#1048;&#1079;&#1084;&#1077;&#1085;&#1077;&#1085;&#1080;&#1103;%20&#1074;%20&#1088;&#1077;&#1096;&#1077;&#1085;&#1080;&#1077;%20&#1076;&#1091;&#1084;&#1099;\&#1087;&#1086;&#1087;&#1088;&#1072;&#1074;&#1082;&#1080;%20&#1072;&#1074;&#1075;&#1091;&#1089;&#1090;\&#1055;&#1088;&#1086;&#1077;&#1082;&#1090;%20&#1088;&#1077;&#1096;&#1077;&#1085;&#1080;&#1103;%20&#1074;%20&#1084;&#1080;&#1085;&#1092;&#1080;&#1085;\&#1050;&#1086;&#1087;&#1080;&#1103;%20&#1055;&#1088;&#1080;&#1083;&#1086;&#1078;&#1077;&#1085;&#1080;&#1103;%20&#1082;%20&#1088;&#1077;&#1096;&#1077;&#1085;&#1080;&#1102;%20&#1086;&#1090;%2029.10.2021%20&#1056;&#1040;&#1057;&#1061;&#1054;&#1044;&#106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6 "/>
      <sheetName val="Прил 7"/>
      <sheetName val="Прил 8"/>
      <sheetName val="Прил 9"/>
      <sheetName val="Прил 10"/>
      <sheetName val="Прил 20"/>
    </sheetNames>
    <sheetDataSet>
      <sheetData sheetId="0" refreshError="1"/>
      <sheetData sheetId="1" refreshError="1">
        <row r="173">
          <cell r="S173">
            <v>0</v>
          </cell>
        </row>
        <row r="511">
          <cell r="S511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39997558519241921"/>
    <pageSetUpPr fitToPage="1"/>
  </sheetPr>
  <dimension ref="A1:R279"/>
  <sheetViews>
    <sheetView view="pageBreakPreview" zoomScaleNormal="90" zoomScaleSheetLayoutView="100" workbookViewId="0">
      <selection activeCell="D4" sqref="D4"/>
    </sheetView>
  </sheetViews>
  <sheetFormatPr defaultRowHeight="15.75" outlineLevelRow="2" x14ac:dyDescent="0.25"/>
  <cols>
    <col min="1" max="1" width="77.5703125" style="112" customWidth="1"/>
    <col min="2" max="2" width="7.85546875" style="111" customWidth="1"/>
    <col min="3" max="3" width="22.140625" style="111" customWidth="1"/>
    <col min="4" max="4" width="7.42578125" style="111" customWidth="1"/>
    <col min="5" max="5" width="6" style="111" customWidth="1"/>
    <col min="6" max="6" width="6" style="111" hidden="1" customWidth="1"/>
    <col min="7" max="7" width="20.5703125" style="221" hidden="1" customWidth="1"/>
    <col min="8" max="8" width="17.140625" style="113" hidden="1" customWidth="1"/>
    <col min="9" max="9" width="15.85546875" style="113" hidden="1" customWidth="1"/>
    <col min="10" max="10" width="15.85546875" style="462" hidden="1" customWidth="1"/>
    <col min="11" max="11" width="15.85546875" style="625" hidden="1" customWidth="1"/>
    <col min="12" max="14" width="15.85546875" hidden="1" customWidth="1"/>
    <col min="15" max="15" width="18.140625" style="225" customWidth="1"/>
  </cols>
  <sheetData>
    <row r="1" spans="1:18" ht="18.75" x14ac:dyDescent="0.3">
      <c r="A1" s="23"/>
      <c r="B1" s="24"/>
      <c r="C1" s="110"/>
      <c r="D1" s="376" t="s">
        <v>936</v>
      </c>
      <c r="E1" s="376"/>
      <c r="F1" s="376"/>
      <c r="G1" s="376"/>
      <c r="H1" s="110"/>
      <c r="I1" s="110"/>
      <c r="J1" s="460"/>
      <c r="K1" s="623"/>
    </row>
    <row r="2" spans="1:18" ht="18.75" x14ac:dyDescent="0.3">
      <c r="A2" s="25"/>
      <c r="B2" s="26"/>
      <c r="C2" s="110"/>
      <c r="D2" s="376" t="s">
        <v>587</v>
      </c>
      <c r="E2" s="376"/>
      <c r="F2" s="376"/>
      <c r="G2" s="376"/>
      <c r="H2" s="110"/>
      <c r="I2" s="110"/>
      <c r="J2" s="460"/>
      <c r="K2" s="623"/>
    </row>
    <row r="3" spans="1:18" ht="18.75" x14ac:dyDescent="0.3">
      <c r="A3" s="25"/>
      <c r="B3" s="26"/>
      <c r="C3" s="110"/>
      <c r="D3" s="376" t="s">
        <v>2</v>
      </c>
      <c r="E3" s="376"/>
      <c r="F3" s="376"/>
      <c r="G3" s="376"/>
      <c r="H3" s="110"/>
      <c r="I3" s="110"/>
      <c r="J3" s="460"/>
      <c r="K3" s="623"/>
    </row>
    <row r="4" spans="1:18" ht="18.75" x14ac:dyDescent="0.3">
      <c r="A4" s="25"/>
      <c r="B4" s="26"/>
      <c r="C4" s="110"/>
      <c r="D4" s="376" t="s">
        <v>1269</v>
      </c>
      <c r="E4" s="376"/>
      <c r="F4" s="376"/>
      <c r="G4" s="376"/>
      <c r="H4" s="110"/>
      <c r="I4" s="110"/>
      <c r="J4" s="460"/>
      <c r="K4" s="623"/>
    </row>
    <row r="5" spans="1:18" ht="15.6" x14ac:dyDescent="0.3">
      <c r="A5" s="25"/>
      <c r="B5" s="26"/>
      <c r="D5" s="385"/>
      <c r="E5" s="385"/>
      <c r="F5" s="385"/>
      <c r="G5" s="220"/>
      <c r="H5" s="385"/>
      <c r="I5" s="385"/>
      <c r="J5" s="461"/>
      <c r="K5" s="624"/>
    </row>
    <row r="6" spans="1:18" ht="31.5" customHeight="1" x14ac:dyDescent="0.25">
      <c r="A6" s="659" t="s">
        <v>1019</v>
      </c>
      <c r="B6" s="659"/>
      <c r="C6" s="659"/>
      <c r="D6" s="659"/>
      <c r="E6" s="659"/>
      <c r="F6" s="659"/>
      <c r="G6" s="660"/>
      <c r="H6" s="659"/>
      <c r="I6" s="659"/>
      <c r="J6" s="661"/>
      <c r="K6" s="662"/>
    </row>
    <row r="8" spans="1:18" ht="31.5" customHeight="1" x14ac:dyDescent="0.25">
      <c r="A8" s="9" t="s">
        <v>716</v>
      </c>
      <c r="B8" s="663" t="s">
        <v>4</v>
      </c>
      <c r="C8" s="664"/>
      <c r="D8" s="664"/>
      <c r="E8" s="665"/>
      <c r="F8" s="384" t="s">
        <v>508</v>
      </c>
      <c r="G8" s="144" t="s">
        <v>5</v>
      </c>
      <c r="H8" s="9" t="s">
        <v>1159</v>
      </c>
      <c r="I8" s="9" t="s">
        <v>901</v>
      </c>
      <c r="J8" s="146" t="s">
        <v>717</v>
      </c>
      <c r="K8" s="626" t="s">
        <v>228</v>
      </c>
      <c r="L8" s="145" t="s">
        <v>229</v>
      </c>
      <c r="M8" s="144"/>
      <c r="N8" s="146" t="s">
        <v>902</v>
      </c>
      <c r="O8" s="591" t="s">
        <v>718</v>
      </c>
    </row>
    <row r="9" spans="1:18" ht="15.6" x14ac:dyDescent="0.3">
      <c r="A9" s="9">
        <v>1</v>
      </c>
      <c r="B9" s="663" t="s">
        <v>136</v>
      </c>
      <c r="C9" s="664"/>
      <c r="D9" s="664"/>
      <c r="E9" s="665"/>
      <c r="F9" s="388"/>
      <c r="G9" s="148">
        <v>3</v>
      </c>
      <c r="H9" s="147"/>
      <c r="I9" s="147"/>
      <c r="J9" s="150"/>
      <c r="K9" s="627"/>
      <c r="L9" s="147"/>
      <c r="M9" s="149"/>
      <c r="N9" s="150"/>
      <c r="O9" s="597">
        <v>3</v>
      </c>
    </row>
    <row r="10" spans="1:18" x14ac:dyDescent="0.25">
      <c r="A10" s="151" t="s">
        <v>719</v>
      </c>
      <c r="B10" s="382" t="s">
        <v>9</v>
      </c>
      <c r="C10" s="383" t="s">
        <v>720</v>
      </c>
      <c r="D10" s="383" t="s">
        <v>137</v>
      </c>
      <c r="E10" s="384" t="s">
        <v>9</v>
      </c>
      <c r="F10" s="388"/>
      <c r="G10" s="508">
        <f t="shared" ref="G10:O10" si="0">G11+G128</f>
        <v>769643.34</v>
      </c>
      <c r="H10" s="508">
        <f t="shared" si="0"/>
        <v>74746.505000000005</v>
      </c>
      <c r="I10" s="229">
        <f t="shared" si="0"/>
        <v>0</v>
      </c>
      <c r="J10" s="508">
        <f t="shared" si="0"/>
        <v>4542.6500000000015</v>
      </c>
      <c r="K10" s="628">
        <f t="shared" si="0"/>
        <v>19167.380000000005</v>
      </c>
      <c r="L10" s="643">
        <f t="shared" si="0"/>
        <v>4404.9859999999999</v>
      </c>
      <c r="M10" s="229">
        <f t="shared" si="0"/>
        <v>0</v>
      </c>
      <c r="N10" s="229">
        <f t="shared" si="0"/>
        <v>0</v>
      </c>
      <c r="O10" s="455">
        <f t="shared" si="0"/>
        <v>872504.86100000003</v>
      </c>
    </row>
    <row r="11" spans="1:18" s="114" customFormat="1" x14ac:dyDescent="0.25">
      <c r="A11" s="83" t="s">
        <v>230</v>
      </c>
      <c r="B11" s="75" t="s">
        <v>9</v>
      </c>
      <c r="C11" s="75" t="s">
        <v>636</v>
      </c>
      <c r="D11" s="75" t="s">
        <v>137</v>
      </c>
      <c r="E11" s="75" t="s">
        <v>9</v>
      </c>
      <c r="F11" s="27"/>
      <c r="G11" s="527">
        <f t="shared" ref="G11:O11" si="1">G12+G32+G42+G45+G48+G69+G75+G95+G110+G18+G122</f>
        <v>123221.09999999999</v>
      </c>
      <c r="H11" s="527">
        <f t="shared" si="1"/>
        <v>6769.4250000000002</v>
      </c>
      <c r="I11" s="230">
        <f t="shared" si="1"/>
        <v>0</v>
      </c>
      <c r="J11" s="527">
        <f t="shared" si="1"/>
        <v>2301.1137600000006</v>
      </c>
      <c r="K11" s="233">
        <f t="shared" si="1"/>
        <v>2573.2600000000002</v>
      </c>
      <c r="L11" s="644">
        <f>L12+L32+L42+L45+L48+L69+L75+L95+L110+L18+L122</f>
        <v>4588.2489999999998</v>
      </c>
      <c r="M11" s="230">
        <f t="shared" si="1"/>
        <v>0</v>
      </c>
      <c r="N11" s="230">
        <f t="shared" si="1"/>
        <v>0</v>
      </c>
      <c r="O11" s="592">
        <f t="shared" si="1"/>
        <v>139453.14775999999</v>
      </c>
    </row>
    <row r="12" spans="1:18" s="114" customFormat="1" x14ac:dyDescent="0.25">
      <c r="A12" s="83" t="s">
        <v>232</v>
      </c>
      <c r="B12" s="75" t="s">
        <v>9</v>
      </c>
      <c r="C12" s="75" t="s">
        <v>635</v>
      </c>
      <c r="D12" s="75" t="s">
        <v>137</v>
      </c>
      <c r="E12" s="75" t="s">
        <v>9</v>
      </c>
      <c r="F12" s="27"/>
      <c r="G12" s="527">
        <f t="shared" ref="G12:O12" si="2">G13</f>
        <v>28851.600000000002</v>
      </c>
      <c r="H12" s="527">
        <f t="shared" si="2"/>
        <v>0</v>
      </c>
      <c r="I12" s="230">
        <f t="shared" si="2"/>
        <v>0</v>
      </c>
      <c r="J12" s="527">
        <f t="shared" si="2"/>
        <v>1000</v>
      </c>
      <c r="K12" s="233">
        <f t="shared" si="2"/>
        <v>0</v>
      </c>
      <c r="L12" s="644">
        <f t="shared" si="2"/>
        <v>0</v>
      </c>
      <c r="M12" s="230">
        <f t="shared" si="2"/>
        <v>0</v>
      </c>
      <c r="N12" s="230">
        <f t="shared" si="2"/>
        <v>0</v>
      </c>
      <c r="O12" s="592">
        <f t="shared" si="2"/>
        <v>29851.600000000002</v>
      </c>
    </row>
    <row r="13" spans="1:18" s="114" customFormat="1" x14ac:dyDescent="0.25">
      <c r="A13" s="83" t="s">
        <v>234</v>
      </c>
      <c r="B13" s="75" t="s">
        <v>9</v>
      </c>
      <c r="C13" s="75" t="s">
        <v>634</v>
      </c>
      <c r="D13" s="75" t="s">
        <v>137</v>
      </c>
      <c r="E13" s="75" t="s">
        <v>236</v>
      </c>
      <c r="F13" s="27"/>
      <c r="G13" s="527">
        <f>G14+G15+G16+G17</f>
        <v>28851.600000000002</v>
      </c>
      <c r="H13" s="527">
        <f t="shared" ref="H13:O13" si="3">H14+H15+H16+H17</f>
        <v>0</v>
      </c>
      <c r="I13" s="230">
        <f t="shared" si="3"/>
        <v>0</v>
      </c>
      <c r="J13" s="527">
        <f t="shared" si="3"/>
        <v>1000</v>
      </c>
      <c r="K13" s="233">
        <f t="shared" si="3"/>
        <v>0</v>
      </c>
      <c r="L13" s="644">
        <f t="shared" si="3"/>
        <v>0</v>
      </c>
      <c r="M13" s="230">
        <f t="shared" si="3"/>
        <v>0</v>
      </c>
      <c r="N13" s="230">
        <f t="shared" si="3"/>
        <v>0</v>
      </c>
      <c r="O13" s="592">
        <f t="shared" si="3"/>
        <v>29851.600000000002</v>
      </c>
    </row>
    <row r="14" spans="1:18" ht="63" x14ac:dyDescent="0.25">
      <c r="A14" s="100" t="s">
        <v>237</v>
      </c>
      <c r="B14" s="79" t="s">
        <v>238</v>
      </c>
      <c r="C14" s="79" t="s">
        <v>633</v>
      </c>
      <c r="D14" s="79" t="s">
        <v>137</v>
      </c>
      <c r="E14" s="79" t="s">
        <v>236</v>
      </c>
      <c r="F14" s="381"/>
      <c r="G14" s="528">
        <v>28513.9</v>
      </c>
      <c r="H14" s="529"/>
      <c r="I14" s="155"/>
      <c r="J14" s="529">
        <v>1000</v>
      </c>
      <c r="K14" s="629"/>
      <c r="L14" s="156"/>
      <c r="M14" s="155"/>
      <c r="N14" s="156"/>
      <c r="O14" s="480">
        <f>G14+H14+I14+J14+K14+L14+M14+N14</f>
        <v>29513.9</v>
      </c>
      <c r="R14" s="187"/>
    </row>
    <row r="15" spans="1:18" ht="98.25" customHeight="1" x14ac:dyDescent="0.25">
      <c r="A15" s="100" t="s">
        <v>470</v>
      </c>
      <c r="B15" s="79" t="s">
        <v>238</v>
      </c>
      <c r="C15" s="79" t="s">
        <v>632</v>
      </c>
      <c r="D15" s="79" t="s">
        <v>137</v>
      </c>
      <c r="E15" s="79" t="s">
        <v>236</v>
      </c>
      <c r="F15" s="381"/>
      <c r="G15" s="530">
        <v>39.799999999999997</v>
      </c>
      <c r="H15" s="529"/>
      <c r="I15" s="155"/>
      <c r="J15" s="529"/>
      <c r="K15" s="629"/>
      <c r="L15" s="156"/>
      <c r="M15" s="155"/>
      <c r="N15" s="156"/>
      <c r="O15" s="480">
        <f>G15+H15+I15+J15+K15+L15+M15+N15</f>
        <v>39.799999999999997</v>
      </c>
    </row>
    <row r="16" spans="1:18" ht="31.5" customHeight="1" x14ac:dyDescent="0.25">
      <c r="A16" s="100" t="s">
        <v>241</v>
      </c>
      <c r="B16" s="79" t="s">
        <v>238</v>
      </c>
      <c r="C16" s="79" t="s">
        <v>631</v>
      </c>
      <c r="D16" s="79" t="s">
        <v>137</v>
      </c>
      <c r="E16" s="79" t="s">
        <v>236</v>
      </c>
      <c r="F16" s="381"/>
      <c r="G16" s="530">
        <v>297.89999999999998</v>
      </c>
      <c r="H16" s="529"/>
      <c r="I16" s="155"/>
      <c r="J16" s="529"/>
      <c r="K16" s="629"/>
      <c r="L16" s="156"/>
      <c r="M16" s="155"/>
      <c r="N16" s="156"/>
      <c r="O16" s="480">
        <f>G16+H16+I16+J16+K16+L16+M16+N16</f>
        <v>297.89999999999998</v>
      </c>
    </row>
    <row r="17" spans="1:15" ht="45.75" hidden="1" customHeight="1" x14ac:dyDescent="0.3">
      <c r="A17" s="19" t="s">
        <v>243</v>
      </c>
      <c r="B17" s="381" t="s">
        <v>238</v>
      </c>
      <c r="C17" s="381" t="s">
        <v>244</v>
      </c>
      <c r="D17" s="381" t="s">
        <v>137</v>
      </c>
      <c r="E17" s="381" t="s">
        <v>236</v>
      </c>
      <c r="F17" s="381"/>
      <c r="G17" s="191">
        <v>0</v>
      </c>
      <c r="H17" s="21">
        <v>0</v>
      </c>
      <c r="I17" s="21"/>
      <c r="J17" s="21">
        <v>0</v>
      </c>
      <c r="K17" s="21">
        <v>0</v>
      </c>
      <c r="L17" s="21">
        <v>0</v>
      </c>
      <c r="M17" s="21"/>
      <c r="N17" s="166"/>
      <c r="O17" s="236">
        <f>G17+H17+I17+J17+K17+L17+M17+N17</f>
        <v>0</v>
      </c>
    </row>
    <row r="18" spans="1:15" s="114" customFormat="1" ht="31.5" x14ac:dyDescent="0.25">
      <c r="A18" s="83" t="s">
        <v>245</v>
      </c>
      <c r="B18" s="75" t="s">
        <v>9</v>
      </c>
      <c r="C18" s="75" t="s">
        <v>630</v>
      </c>
      <c r="D18" s="75" t="s">
        <v>137</v>
      </c>
      <c r="E18" s="75" t="s">
        <v>9</v>
      </c>
      <c r="F18" s="27"/>
      <c r="G18" s="527">
        <f>G19</f>
        <v>3609.8999999999996</v>
      </c>
      <c r="H18" s="527">
        <f t="shared" ref="H18:O18" si="4">H19</f>
        <v>0</v>
      </c>
      <c r="I18" s="230">
        <f t="shared" si="4"/>
        <v>0</v>
      </c>
      <c r="J18" s="527">
        <f t="shared" si="4"/>
        <v>0</v>
      </c>
      <c r="K18" s="233">
        <f t="shared" si="4"/>
        <v>0</v>
      </c>
      <c r="L18" s="644">
        <f t="shared" si="4"/>
        <v>0</v>
      </c>
      <c r="M18" s="230">
        <f t="shared" si="4"/>
        <v>0</v>
      </c>
      <c r="N18" s="230">
        <f t="shared" si="4"/>
        <v>0</v>
      </c>
      <c r="O18" s="592">
        <f t="shared" si="4"/>
        <v>3609.8999999999996</v>
      </c>
    </row>
    <row r="19" spans="1:15" s="114" customFormat="1" ht="31.5" x14ac:dyDescent="0.25">
      <c r="A19" s="83" t="s">
        <v>247</v>
      </c>
      <c r="B19" s="75" t="s">
        <v>9</v>
      </c>
      <c r="C19" s="75" t="s">
        <v>629</v>
      </c>
      <c r="D19" s="75" t="s">
        <v>137</v>
      </c>
      <c r="E19" s="75" t="s">
        <v>236</v>
      </c>
      <c r="F19" s="27"/>
      <c r="G19" s="527">
        <f>G20+G23+G26+G29</f>
        <v>3609.8999999999996</v>
      </c>
      <c r="H19" s="527">
        <f t="shared" ref="H19:O19" si="5">H20+H23+H26+H29</f>
        <v>0</v>
      </c>
      <c r="I19" s="230">
        <f t="shared" si="5"/>
        <v>0</v>
      </c>
      <c r="J19" s="527">
        <f t="shared" si="5"/>
        <v>0</v>
      </c>
      <c r="K19" s="233">
        <f t="shared" si="5"/>
        <v>0</v>
      </c>
      <c r="L19" s="644">
        <f t="shared" si="5"/>
        <v>0</v>
      </c>
      <c r="M19" s="230">
        <f t="shared" si="5"/>
        <v>0</v>
      </c>
      <c r="N19" s="230">
        <f t="shared" si="5"/>
        <v>0</v>
      </c>
      <c r="O19" s="592">
        <f t="shared" si="5"/>
        <v>3609.8999999999996</v>
      </c>
    </row>
    <row r="20" spans="1:15" ht="63" x14ac:dyDescent="0.25">
      <c r="A20" s="19" t="s">
        <v>249</v>
      </c>
      <c r="B20" s="381" t="s">
        <v>238</v>
      </c>
      <c r="C20" s="381" t="s">
        <v>628</v>
      </c>
      <c r="D20" s="381" t="s">
        <v>137</v>
      </c>
      <c r="E20" s="381" t="s">
        <v>236</v>
      </c>
      <c r="F20" s="381"/>
      <c r="G20" s="528">
        <f>G21</f>
        <v>1709.8</v>
      </c>
      <c r="H20" s="528">
        <f>H21+H22</f>
        <v>0</v>
      </c>
      <c r="I20" s="231">
        <f t="shared" ref="I20:N20" si="6">I21</f>
        <v>0</v>
      </c>
      <c r="J20" s="528">
        <f t="shared" si="6"/>
        <v>0</v>
      </c>
      <c r="K20" s="234">
        <f t="shared" si="6"/>
        <v>0</v>
      </c>
      <c r="L20" s="645">
        <f t="shared" si="6"/>
        <v>0</v>
      </c>
      <c r="M20" s="231">
        <f t="shared" si="6"/>
        <v>0</v>
      </c>
      <c r="N20" s="231">
        <f t="shared" si="6"/>
        <v>0</v>
      </c>
      <c r="O20" s="480">
        <f>O21+O22</f>
        <v>1709.8</v>
      </c>
    </row>
    <row r="21" spans="1:15" ht="63" hidden="1" customHeight="1" x14ac:dyDescent="0.3">
      <c r="A21" s="237" t="s">
        <v>721</v>
      </c>
      <c r="B21" s="238" t="s">
        <v>113</v>
      </c>
      <c r="C21" s="238" t="s">
        <v>722</v>
      </c>
      <c r="D21" s="238" t="s">
        <v>137</v>
      </c>
      <c r="E21" s="238" t="s">
        <v>236</v>
      </c>
      <c r="F21" s="38"/>
      <c r="G21" s="205">
        <v>1709.8</v>
      </c>
      <c r="H21" s="165">
        <v>-1709.8</v>
      </c>
      <c r="I21" s="165"/>
      <c r="J21" s="165"/>
      <c r="K21" s="165"/>
      <c r="L21" s="21"/>
      <c r="M21" s="165"/>
      <c r="N21" s="166"/>
      <c r="O21" s="236">
        <f>SUM(G21:N21)</f>
        <v>0</v>
      </c>
    </row>
    <row r="22" spans="1:15" ht="63" hidden="1" customHeight="1" x14ac:dyDescent="0.3">
      <c r="A22" s="237" t="s">
        <v>721</v>
      </c>
      <c r="B22" s="238" t="s">
        <v>238</v>
      </c>
      <c r="C22" s="238" t="s">
        <v>722</v>
      </c>
      <c r="D22" s="238" t="s">
        <v>137</v>
      </c>
      <c r="E22" s="238" t="s">
        <v>236</v>
      </c>
      <c r="F22" s="38"/>
      <c r="G22" s="205"/>
      <c r="H22" s="165">
        <v>1709.8</v>
      </c>
      <c r="I22" s="165"/>
      <c r="J22" s="165"/>
      <c r="K22" s="165"/>
      <c r="L22" s="21"/>
      <c r="M22" s="165"/>
      <c r="N22" s="166"/>
      <c r="O22" s="236">
        <f>SUM(G22:N22)</f>
        <v>1709.8</v>
      </c>
    </row>
    <row r="23" spans="1:15" ht="78.75" x14ac:dyDescent="0.25">
      <c r="A23" s="19" t="s">
        <v>251</v>
      </c>
      <c r="B23" s="381" t="s">
        <v>238</v>
      </c>
      <c r="C23" s="381" t="s">
        <v>627</v>
      </c>
      <c r="D23" s="381" t="s">
        <v>137</v>
      </c>
      <c r="E23" s="381" t="s">
        <v>236</v>
      </c>
      <c r="F23" s="381"/>
      <c r="G23" s="528">
        <f>G24</f>
        <v>11.9</v>
      </c>
      <c r="H23" s="528">
        <f>H24+H25</f>
        <v>0</v>
      </c>
      <c r="I23" s="231">
        <f t="shared" ref="I23:N23" si="7">I24</f>
        <v>0</v>
      </c>
      <c r="J23" s="528">
        <f t="shared" si="7"/>
        <v>0</v>
      </c>
      <c r="K23" s="234">
        <f t="shared" si="7"/>
        <v>0</v>
      </c>
      <c r="L23" s="645">
        <f t="shared" si="7"/>
        <v>0</v>
      </c>
      <c r="M23" s="231">
        <f t="shared" si="7"/>
        <v>0</v>
      </c>
      <c r="N23" s="231">
        <f t="shared" si="7"/>
        <v>0</v>
      </c>
      <c r="O23" s="480">
        <f>O24+O25</f>
        <v>11.9</v>
      </c>
    </row>
    <row r="24" spans="1:15" ht="55.5" hidden="1" customHeight="1" x14ac:dyDescent="0.3">
      <c r="A24" s="237" t="s">
        <v>723</v>
      </c>
      <c r="B24" s="238" t="s">
        <v>113</v>
      </c>
      <c r="C24" s="238" t="s">
        <v>724</v>
      </c>
      <c r="D24" s="238" t="s">
        <v>137</v>
      </c>
      <c r="E24" s="238" t="s">
        <v>236</v>
      </c>
      <c r="F24" s="38"/>
      <c r="G24" s="205">
        <v>11.9</v>
      </c>
      <c r="H24" s="165">
        <v>-11.9</v>
      </c>
      <c r="I24" s="165"/>
      <c r="J24" s="165"/>
      <c r="K24" s="165"/>
      <c r="L24" s="21"/>
      <c r="M24" s="165"/>
      <c r="N24" s="166"/>
      <c r="O24" s="236">
        <f>SUM(G24:N24)</f>
        <v>0</v>
      </c>
    </row>
    <row r="25" spans="1:15" ht="55.5" hidden="1" customHeight="1" x14ac:dyDescent="0.3">
      <c r="A25" s="237" t="s">
        <v>723</v>
      </c>
      <c r="B25" s="238" t="s">
        <v>238</v>
      </c>
      <c r="C25" s="238" t="s">
        <v>724</v>
      </c>
      <c r="D25" s="238" t="s">
        <v>137</v>
      </c>
      <c r="E25" s="238" t="s">
        <v>236</v>
      </c>
      <c r="F25" s="38"/>
      <c r="G25" s="205"/>
      <c r="H25" s="165">
        <v>11.9</v>
      </c>
      <c r="I25" s="165"/>
      <c r="J25" s="165"/>
      <c r="K25" s="165"/>
      <c r="L25" s="21"/>
      <c r="M25" s="165"/>
      <c r="N25" s="166"/>
      <c r="O25" s="236">
        <f>SUM(G25:N25)</f>
        <v>11.9</v>
      </c>
    </row>
    <row r="26" spans="1:15" s="114" customFormat="1" ht="78.75" x14ac:dyDescent="0.25">
      <c r="A26" s="19" t="s">
        <v>514</v>
      </c>
      <c r="B26" s="381" t="s">
        <v>238</v>
      </c>
      <c r="C26" s="381" t="s">
        <v>626</v>
      </c>
      <c r="D26" s="381" t="s">
        <v>137</v>
      </c>
      <c r="E26" s="381" t="s">
        <v>236</v>
      </c>
      <c r="F26" s="381"/>
      <c r="G26" s="528">
        <f>G27</f>
        <v>2113.6999999999998</v>
      </c>
      <c r="H26" s="528">
        <f>H27+H28</f>
        <v>0</v>
      </c>
      <c r="I26" s="231">
        <f t="shared" ref="I26:N26" si="8">I27</f>
        <v>0</v>
      </c>
      <c r="J26" s="528">
        <f t="shared" si="8"/>
        <v>0</v>
      </c>
      <c r="K26" s="234">
        <f t="shared" si="8"/>
        <v>0</v>
      </c>
      <c r="L26" s="645">
        <f t="shared" si="8"/>
        <v>0</v>
      </c>
      <c r="M26" s="231">
        <f t="shared" si="8"/>
        <v>0</v>
      </c>
      <c r="N26" s="231">
        <f t="shared" si="8"/>
        <v>0</v>
      </c>
      <c r="O26" s="480">
        <f>O27+O28</f>
        <v>2113.6999999999998</v>
      </c>
    </row>
    <row r="27" spans="1:15" s="114" customFormat="1" ht="86.25" hidden="1" customHeight="1" x14ac:dyDescent="0.3">
      <c r="A27" s="237" t="s">
        <v>725</v>
      </c>
      <c r="B27" s="238" t="s">
        <v>113</v>
      </c>
      <c r="C27" s="238" t="s">
        <v>726</v>
      </c>
      <c r="D27" s="238" t="s">
        <v>137</v>
      </c>
      <c r="E27" s="238" t="s">
        <v>236</v>
      </c>
      <c r="F27" s="38"/>
      <c r="G27" s="205">
        <v>2113.6999999999998</v>
      </c>
      <c r="H27" s="165">
        <v>-2113.6999999999998</v>
      </c>
      <c r="I27" s="165"/>
      <c r="J27" s="165"/>
      <c r="K27" s="165"/>
      <c r="L27" s="21"/>
      <c r="M27" s="165"/>
      <c r="N27" s="166"/>
      <c r="O27" s="236">
        <f>SUM(G27:N27)</f>
        <v>0</v>
      </c>
    </row>
    <row r="28" spans="1:15" s="114" customFormat="1" ht="86.25" hidden="1" customHeight="1" x14ac:dyDescent="0.3">
      <c r="A28" s="237" t="s">
        <v>725</v>
      </c>
      <c r="B28" s="238" t="s">
        <v>238</v>
      </c>
      <c r="C28" s="238" t="s">
        <v>726</v>
      </c>
      <c r="D28" s="238" t="s">
        <v>137</v>
      </c>
      <c r="E28" s="238" t="s">
        <v>236</v>
      </c>
      <c r="F28" s="38"/>
      <c r="G28" s="205"/>
      <c r="H28" s="165">
        <v>2113.6999999999998</v>
      </c>
      <c r="I28" s="165"/>
      <c r="J28" s="165"/>
      <c r="K28" s="165"/>
      <c r="L28" s="21"/>
      <c r="M28" s="165"/>
      <c r="N28" s="166"/>
      <c r="O28" s="236">
        <f>SUM(G28:N28)</f>
        <v>2113.6999999999998</v>
      </c>
    </row>
    <row r="29" spans="1:15" s="115" customFormat="1" ht="63" x14ac:dyDescent="0.25">
      <c r="A29" s="200" t="s">
        <v>661</v>
      </c>
      <c r="B29" s="204" t="s">
        <v>238</v>
      </c>
      <c r="C29" s="204" t="s">
        <v>663</v>
      </c>
      <c r="D29" s="381" t="s">
        <v>137</v>
      </c>
      <c r="E29" s="381" t="s">
        <v>236</v>
      </c>
      <c r="F29" s="381"/>
      <c r="G29" s="528">
        <f>G30</f>
        <v>-225.5</v>
      </c>
      <c r="H29" s="528">
        <f>H30+H31</f>
        <v>0</v>
      </c>
      <c r="I29" s="231">
        <f t="shared" ref="I29:N29" si="9">I30</f>
        <v>0</v>
      </c>
      <c r="J29" s="528">
        <f t="shared" si="9"/>
        <v>0</v>
      </c>
      <c r="K29" s="234">
        <f t="shared" si="9"/>
        <v>0</v>
      </c>
      <c r="L29" s="645">
        <f t="shared" si="9"/>
        <v>0</v>
      </c>
      <c r="M29" s="231">
        <f t="shared" si="9"/>
        <v>0</v>
      </c>
      <c r="N29" s="231">
        <f t="shared" si="9"/>
        <v>0</v>
      </c>
      <c r="O29" s="480">
        <f>O30+O31</f>
        <v>-225.5</v>
      </c>
    </row>
    <row r="30" spans="1:15" ht="102.75" hidden="1" customHeight="1" x14ac:dyDescent="0.3">
      <c r="A30" s="239" t="s">
        <v>727</v>
      </c>
      <c r="B30" s="240" t="s">
        <v>113</v>
      </c>
      <c r="C30" s="240" t="s">
        <v>728</v>
      </c>
      <c r="D30" s="238" t="s">
        <v>137</v>
      </c>
      <c r="E30" s="238" t="s">
        <v>236</v>
      </c>
      <c r="F30" s="38"/>
      <c r="G30" s="205">
        <v>-225.5</v>
      </c>
      <c r="H30" s="165">
        <v>225.5</v>
      </c>
      <c r="I30" s="165"/>
      <c r="J30" s="165"/>
      <c r="K30" s="165"/>
      <c r="L30" s="21"/>
      <c r="M30" s="165"/>
      <c r="N30" s="166"/>
      <c r="O30" s="236">
        <f>SUM(G30:N30)</f>
        <v>0</v>
      </c>
    </row>
    <row r="31" spans="1:15" ht="84" hidden="1" customHeight="1" x14ac:dyDescent="0.3">
      <c r="A31" s="239" t="s">
        <v>727</v>
      </c>
      <c r="B31" s="240" t="s">
        <v>238</v>
      </c>
      <c r="C31" s="240" t="s">
        <v>728</v>
      </c>
      <c r="D31" s="238" t="s">
        <v>137</v>
      </c>
      <c r="E31" s="238" t="s">
        <v>236</v>
      </c>
      <c r="F31" s="38"/>
      <c r="G31" s="205"/>
      <c r="H31" s="165">
        <v>-225.5</v>
      </c>
      <c r="I31" s="165"/>
      <c r="J31" s="165"/>
      <c r="K31" s="165"/>
      <c r="L31" s="21"/>
      <c r="M31" s="165"/>
      <c r="N31" s="166"/>
      <c r="O31" s="236">
        <f>SUM(G31:N31)</f>
        <v>-225.5</v>
      </c>
    </row>
    <row r="32" spans="1:15" s="115" customFormat="1" x14ac:dyDescent="0.25">
      <c r="A32" s="83" t="s">
        <v>254</v>
      </c>
      <c r="B32" s="75" t="s">
        <v>9</v>
      </c>
      <c r="C32" s="75" t="s">
        <v>625</v>
      </c>
      <c r="D32" s="75" t="s">
        <v>137</v>
      </c>
      <c r="E32" s="75" t="s">
        <v>9</v>
      </c>
      <c r="F32" s="27"/>
      <c r="G32" s="527">
        <f>G33+G38+G40</f>
        <v>38446</v>
      </c>
      <c r="H32" s="527">
        <f t="shared" ref="H32:N32" si="10">H33+H38+H40</f>
        <v>418.95</v>
      </c>
      <c r="I32" s="230">
        <f t="shared" si="10"/>
        <v>0</v>
      </c>
      <c r="J32" s="527">
        <f t="shared" si="10"/>
        <v>0</v>
      </c>
      <c r="K32" s="233">
        <f t="shared" si="10"/>
        <v>409.26</v>
      </c>
      <c r="L32" s="644">
        <f t="shared" si="10"/>
        <v>3420</v>
      </c>
      <c r="M32" s="230">
        <f t="shared" si="10"/>
        <v>0</v>
      </c>
      <c r="N32" s="230">
        <f t="shared" si="10"/>
        <v>0</v>
      </c>
      <c r="O32" s="592">
        <f>O33+O38+O40</f>
        <v>42694.209999999992</v>
      </c>
    </row>
    <row r="33" spans="1:15" ht="31.5" x14ac:dyDescent="0.25">
      <c r="A33" s="83" t="s">
        <v>256</v>
      </c>
      <c r="B33" s="75" t="s">
        <v>9</v>
      </c>
      <c r="C33" s="75" t="s">
        <v>624</v>
      </c>
      <c r="D33" s="75" t="s">
        <v>137</v>
      </c>
      <c r="E33" s="75" t="s">
        <v>236</v>
      </c>
      <c r="F33" s="27"/>
      <c r="G33" s="527">
        <f>G34+G36</f>
        <v>35630</v>
      </c>
      <c r="H33" s="527">
        <f t="shared" ref="H33:N33" si="11">H34+H36</f>
        <v>0</v>
      </c>
      <c r="I33" s="230">
        <f t="shared" si="11"/>
        <v>0</v>
      </c>
      <c r="J33" s="527">
        <f t="shared" si="11"/>
        <v>0</v>
      </c>
      <c r="K33" s="233">
        <f t="shared" si="11"/>
        <v>409.26</v>
      </c>
      <c r="L33" s="644">
        <f t="shared" si="11"/>
        <v>3420</v>
      </c>
      <c r="M33" s="230">
        <f t="shared" si="11"/>
        <v>0</v>
      </c>
      <c r="N33" s="230">
        <f t="shared" si="11"/>
        <v>0</v>
      </c>
      <c r="O33" s="592">
        <f>O34+O36</f>
        <v>39459.259999999995</v>
      </c>
    </row>
    <row r="34" spans="1:15" s="114" customFormat="1" ht="30.75" customHeight="1" x14ac:dyDescent="0.25">
      <c r="A34" s="100" t="s">
        <v>258</v>
      </c>
      <c r="B34" s="79" t="s">
        <v>238</v>
      </c>
      <c r="C34" s="79" t="s">
        <v>623</v>
      </c>
      <c r="D34" s="79" t="s">
        <v>137</v>
      </c>
      <c r="E34" s="79" t="s">
        <v>236</v>
      </c>
      <c r="F34" s="381"/>
      <c r="G34" s="528">
        <f>G35</f>
        <v>23160</v>
      </c>
      <c r="H34" s="528">
        <f t="shared" ref="H34:M34" si="12">H35</f>
        <v>0</v>
      </c>
      <c r="I34" s="231">
        <f t="shared" si="12"/>
        <v>0</v>
      </c>
      <c r="J34" s="528">
        <f t="shared" si="12"/>
        <v>0</v>
      </c>
      <c r="K34" s="234">
        <f t="shared" si="12"/>
        <v>409.26</v>
      </c>
      <c r="L34" s="645">
        <f t="shared" si="12"/>
        <v>3420</v>
      </c>
      <c r="M34" s="231">
        <f t="shared" si="12"/>
        <v>0</v>
      </c>
      <c r="N34" s="231">
        <f>N35</f>
        <v>0</v>
      </c>
      <c r="O34" s="480">
        <f>O35</f>
        <v>26989.26</v>
      </c>
    </row>
    <row r="35" spans="1:15" ht="29.25" customHeight="1" x14ac:dyDescent="0.25">
      <c r="A35" s="37" t="s">
        <v>258</v>
      </c>
      <c r="B35" s="38" t="s">
        <v>238</v>
      </c>
      <c r="C35" s="38" t="s">
        <v>637</v>
      </c>
      <c r="D35" s="38" t="s">
        <v>137</v>
      </c>
      <c r="E35" s="38" t="s">
        <v>236</v>
      </c>
      <c r="F35" s="38"/>
      <c r="G35" s="205">
        <v>23160</v>
      </c>
      <c r="H35" s="165"/>
      <c r="I35" s="165"/>
      <c r="J35" s="165"/>
      <c r="K35" s="165">
        <f>586.36-220+13+29.9</f>
        <v>409.26</v>
      </c>
      <c r="L35" s="166">
        <v>3420</v>
      </c>
      <c r="M35" s="241"/>
      <c r="N35" s="242"/>
      <c r="O35" s="370">
        <f>SUM(G35:N35)</f>
        <v>26989.26</v>
      </c>
    </row>
    <row r="36" spans="1:15" s="114" customFormat="1" ht="31.5" x14ac:dyDescent="0.25">
      <c r="A36" s="100" t="s">
        <v>260</v>
      </c>
      <c r="B36" s="79" t="s">
        <v>238</v>
      </c>
      <c r="C36" s="79" t="s">
        <v>622</v>
      </c>
      <c r="D36" s="79" t="s">
        <v>137</v>
      </c>
      <c r="E36" s="79" t="s">
        <v>236</v>
      </c>
      <c r="F36" s="381"/>
      <c r="G36" s="528">
        <f>G37</f>
        <v>12470</v>
      </c>
      <c r="H36" s="528">
        <f t="shared" ref="H36:O36" si="13">H37</f>
        <v>0</v>
      </c>
      <c r="I36" s="231">
        <f t="shared" si="13"/>
        <v>0</v>
      </c>
      <c r="J36" s="528">
        <f t="shared" si="13"/>
        <v>0</v>
      </c>
      <c r="K36" s="234">
        <f t="shared" si="13"/>
        <v>0</v>
      </c>
      <c r="L36" s="645">
        <f t="shared" si="13"/>
        <v>0</v>
      </c>
      <c r="M36" s="231">
        <f t="shared" si="13"/>
        <v>0</v>
      </c>
      <c r="N36" s="231">
        <f t="shared" si="13"/>
        <v>0</v>
      </c>
      <c r="O36" s="480">
        <f t="shared" si="13"/>
        <v>12470</v>
      </c>
    </row>
    <row r="37" spans="1:15" ht="43.5" hidden="1" customHeight="1" x14ac:dyDescent="0.3">
      <c r="A37" s="37" t="s">
        <v>260</v>
      </c>
      <c r="B37" s="38" t="s">
        <v>238</v>
      </c>
      <c r="C37" s="38" t="s">
        <v>638</v>
      </c>
      <c r="D37" s="38" t="s">
        <v>137</v>
      </c>
      <c r="E37" s="38" t="s">
        <v>236</v>
      </c>
      <c r="F37" s="38"/>
      <c r="G37" s="205">
        <v>12470</v>
      </c>
      <c r="H37" s="165"/>
      <c r="I37" s="165"/>
      <c r="J37" s="165"/>
      <c r="K37" s="165"/>
      <c r="L37" s="21"/>
      <c r="M37" s="165"/>
      <c r="N37" s="166"/>
      <c r="O37" s="167">
        <f>SUM(G37:N37)</f>
        <v>12470</v>
      </c>
    </row>
    <row r="38" spans="1:15" s="114" customFormat="1" x14ac:dyDescent="0.25">
      <c r="A38" s="83" t="s">
        <v>262</v>
      </c>
      <c r="B38" s="75" t="s">
        <v>9</v>
      </c>
      <c r="C38" s="75" t="s">
        <v>621</v>
      </c>
      <c r="D38" s="75" t="s">
        <v>137</v>
      </c>
      <c r="E38" s="75" t="s">
        <v>236</v>
      </c>
      <c r="F38" s="27"/>
      <c r="G38" s="527">
        <f>G39</f>
        <v>84</v>
      </c>
      <c r="H38" s="527">
        <f t="shared" ref="H38:O38" si="14">H39</f>
        <v>418.95</v>
      </c>
      <c r="I38" s="230">
        <f t="shared" si="14"/>
        <v>0</v>
      </c>
      <c r="J38" s="527">
        <f t="shared" si="14"/>
        <v>0</v>
      </c>
      <c r="K38" s="233">
        <f t="shared" si="14"/>
        <v>0</v>
      </c>
      <c r="L38" s="644">
        <f t="shared" si="14"/>
        <v>0</v>
      </c>
      <c r="M38" s="230">
        <f t="shared" si="14"/>
        <v>0</v>
      </c>
      <c r="N38" s="230">
        <f t="shared" si="14"/>
        <v>0</v>
      </c>
      <c r="O38" s="592">
        <f t="shared" si="14"/>
        <v>502.95</v>
      </c>
    </row>
    <row r="39" spans="1:15" x14ac:dyDescent="0.25">
      <c r="A39" s="100" t="s">
        <v>262</v>
      </c>
      <c r="B39" s="79" t="s">
        <v>238</v>
      </c>
      <c r="C39" s="79" t="s">
        <v>693</v>
      </c>
      <c r="D39" s="79" t="s">
        <v>137</v>
      </c>
      <c r="E39" s="79" t="s">
        <v>236</v>
      </c>
      <c r="F39" s="381"/>
      <c r="G39" s="528">
        <v>84</v>
      </c>
      <c r="H39" s="529">
        <f>414.65+4.3</f>
        <v>418.95</v>
      </c>
      <c r="I39" s="155"/>
      <c r="J39" s="529"/>
      <c r="K39" s="629"/>
      <c r="L39" s="156"/>
      <c r="M39" s="155"/>
      <c r="N39" s="156"/>
      <c r="O39" s="480">
        <f>SUM(G39:N39)</f>
        <v>502.95</v>
      </c>
    </row>
    <row r="40" spans="1:15" ht="31.5" x14ac:dyDescent="0.25">
      <c r="A40" s="83" t="s">
        <v>265</v>
      </c>
      <c r="B40" s="75" t="s">
        <v>9</v>
      </c>
      <c r="C40" s="75" t="s">
        <v>620</v>
      </c>
      <c r="D40" s="75" t="s">
        <v>137</v>
      </c>
      <c r="E40" s="75" t="s">
        <v>236</v>
      </c>
      <c r="F40" s="27"/>
      <c r="G40" s="527">
        <f t="shared" ref="G40:O40" si="15">G41</f>
        <v>2732</v>
      </c>
      <c r="H40" s="527">
        <f t="shared" si="15"/>
        <v>0</v>
      </c>
      <c r="I40" s="230">
        <f t="shared" si="15"/>
        <v>0</v>
      </c>
      <c r="J40" s="527">
        <f t="shared" si="15"/>
        <v>0</v>
      </c>
      <c r="K40" s="233">
        <f t="shared" si="15"/>
        <v>0</v>
      </c>
      <c r="L40" s="644">
        <f t="shared" si="15"/>
        <v>0</v>
      </c>
      <c r="M40" s="230">
        <f t="shared" si="15"/>
        <v>0</v>
      </c>
      <c r="N40" s="230">
        <f t="shared" si="15"/>
        <v>0</v>
      </c>
      <c r="O40" s="592">
        <f t="shared" si="15"/>
        <v>2732</v>
      </c>
    </row>
    <row r="41" spans="1:15" s="114" customFormat="1" ht="31.5" x14ac:dyDescent="0.25">
      <c r="A41" s="100" t="s">
        <v>267</v>
      </c>
      <c r="B41" s="79" t="s">
        <v>238</v>
      </c>
      <c r="C41" s="79" t="s">
        <v>619</v>
      </c>
      <c r="D41" s="79" t="s">
        <v>137</v>
      </c>
      <c r="E41" s="79" t="s">
        <v>236</v>
      </c>
      <c r="F41" s="381"/>
      <c r="G41" s="528">
        <v>2732</v>
      </c>
      <c r="H41" s="529"/>
      <c r="I41" s="155"/>
      <c r="J41" s="529"/>
      <c r="K41" s="629"/>
      <c r="L41" s="156"/>
      <c r="M41" s="155"/>
      <c r="N41" s="156"/>
      <c r="O41" s="480">
        <f>SUM(G41:N41)</f>
        <v>2732</v>
      </c>
    </row>
    <row r="42" spans="1:15" s="114" customFormat="1" x14ac:dyDescent="0.25">
      <c r="A42" s="83" t="s">
        <v>269</v>
      </c>
      <c r="B42" s="75" t="s">
        <v>9</v>
      </c>
      <c r="C42" s="75" t="s">
        <v>618</v>
      </c>
      <c r="D42" s="75" t="s">
        <v>137</v>
      </c>
      <c r="E42" s="75" t="s">
        <v>9</v>
      </c>
      <c r="F42" s="27"/>
      <c r="G42" s="527">
        <f t="shared" ref="G42:O43" si="16">G43</f>
        <v>14750</v>
      </c>
      <c r="H42" s="527">
        <f t="shared" si="16"/>
        <v>300</v>
      </c>
      <c r="I42" s="230">
        <f t="shared" si="16"/>
        <v>0</v>
      </c>
      <c r="J42" s="527">
        <f t="shared" si="16"/>
        <v>0</v>
      </c>
      <c r="K42" s="233">
        <f t="shared" si="16"/>
        <v>0</v>
      </c>
      <c r="L42" s="644">
        <f t="shared" si="16"/>
        <v>0</v>
      </c>
      <c r="M42" s="230">
        <f t="shared" si="16"/>
        <v>0</v>
      </c>
      <c r="N42" s="230">
        <f t="shared" si="16"/>
        <v>0</v>
      </c>
      <c r="O42" s="592">
        <f t="shared" si="16"/>
        <v>15050</v>
      </c>
    </row>
    <row r="43" spans="1:15" x14ac:dyDescent="0.25">
      <c r="A43" s="83" t="s">
        <v>271</v>
      </c>
      <c r="B43" s="75" t="s">
        <v>9</v>
      </c>
      <c r="C43" s="75" t="s">
        <v>617</v>
      </c>
      <c r="D43" s="75" t="s">
        <v>137</v>
      </c>
      <c r="E43" s="75" t="s">
        <v>236</v>
      </c>
      <c r="F43" s="27"/>
      <c r="G43" s="527">
        <f t="shared" si="16"/>
        <v>14750</v>
      </c>
      <c r="H43" s="527">
        <f t="shared" si="16"/>
        <v>300</v>
      </c>
      <c r="I43" s="230">
        <f t="shared" si="16"/>
        <v>0</v>
      </c>
      <c r="J43" s="527">
        <f t="shared" si="16"/>
        <v>0</v>
      </c>
      <c r="K43" s="233">
        <f t="shared" si="16"/>
        <v>0</v>
      </c>
      <c r="L43" s="644">
        <f t="shared" si="16"/>
        <v>0</v>
      </c>
      <c r="M43" s="230">
        <f t="shared" si="16"/>
        <v>0</v>
      </c>
      <c r="N43" s="230">
        <f t="shared" si="16"/>
        <v>0</v>
      </c>
      <c r="O43" s="592">
        <f t="shared" si="16"/>
        <v>15050</v>
      </c>
    </row>
    <row r="44" spans="1:15" s="114" customFormat="1" ht="33.75" customHeight="1" x14ac:dyDescent="0.25">
      <c r="A44" s="100" t="s">
        <v>273</v>
      </c>
      <c r="B44" s="79" t="s">
        <v>238</v>
      </c>
      <c r="C44" s="79" t="s">
        <v>616</v>
      </c>
      <c r="D44" s="79" t="s">
        <v>137</v>
      </c>
      <c r="E44" s="79" t="s">
        <v>236</v>
      </c>
      <c r="F44" s="381"/>
      <c r="G44" s="528">
        <v>14750</v>
      </c>
      <c r="H44" s="529">
        <f>68.96+61.3+169.74</f>
        <v>300</v>
      </c>
      <c r="I44" s="155"/>
      <c r="J44" s="529">
        <v>0</v>
      </c>
      <c r="K44" s="629"/>
      <c r="L44" s="156"/>
      <c r="M44" s="155"/>
      <c r="N44" s="156"/>
      <c r="O44" s="480">
        <f>SUM(G44:N44)</f>
        <v>15050</v>
      </c>
    </row>
    <row r="45" spans="1:15" s="114" customFormat="1" x14ac:dyDescent="0.25">
      <c r="A45" s="83" t="s">
        <v>275</v>
      </c>
      <c r="B45" s="75" t="s">
        <v>9</v>
      </c>
      <c r="C45" s="75" t="s">
        <v>615</v>
      </c>
      <c r="D45" s="75" t="s">
        <v>137</v>
      </c>
      <c r="E45" s="75" t="s">
        <v>9</v>
      </c>
      <c r="F45" s="27"/>
      <c r="G45" s="527">
        <f t="shared" ref="G45:O46" si="17">G46</f>
        <v>1380</v>
      </c>
      <c r="H45" s="527">
        <f t="shared" si="17"/>
        <v>0</v>
      </c>
      <c r="I45" s="230">
        <f t="shared" si="17"/>
        <v>0</v>
      </c>
      <c r="J45" s="527">
        <f t="shared" si="17"/>
        <v>476.99734999999998</v>
      </c>
      <c r="K45" s="233">
        <f t="shared" si="17"/>
        <v>0</v>
      </c>
      <c r="L45" s="644">
        <f t="shared" si="17"/>
        <v>0</v>
      </c>
      <c r="M45" s="230">
        <f t="shared" si="17"/>
        <v>0</v>
      </c>
      <c r="N45" s="230">
        <f t="shared" si="17"/>
        <v>0</v>
      </c>
      <c r="O45" s="592">
        <f t="shared" si="17"/>
        <v>1856.9973500000001</v>
      </c>
    </row>
    <row r="46" spans="1:15" s="115" customFormat="1" ht="37.5" customHeight="1" x14ac:dyDescent="0.25">
      <c r="A46" s="83" t="s">
        <v>277</v>
      </c>
      <c r="B46" s="75" t="s">
        <v>9</v>
      </c>
      <c r="C46" s="75" t="s">
        <v>614</v>
      </c>
      <c r="D46" s="75" t="s">
        <v>137</v>
      </c>
      <c r="E46" s="75" t="s">
        <v>236</v>
      </c>
      <c r="F46" s="27"/>
      <c r="G46" s="527">
        <f t="shared" si="17"/>
        <v>1380</v>
      </c>
      <c r="H46" s="527">
        <f t="shared" si="17"/>
        <v>0</v>
      </c>
      <c r="I46" s="230">
        <f t="shared" si="17"/>
        <v>0</v>
      </c>
      <c r="J46" s="527">
        <f t="shared" si="17"/>
        <v>476.99734999999998</v>
      </c>
      <c r="K46" s="233">
        <f t="shared" si="17"/>
        <v>0</v>
      </c>
      <c r="L46" s="644">
        <f t="shared" si="17"/>
        <v>0</v>
      </c>
      <c r="M46" s="230">
        <f t="shared" si="17"/>
        <v>0</v>
      </c>
      <c r="N46" s="230">
        <f t="shared" si="17"/>
        <v>0</v>
      </c>
      <c r="O46" s="592">
        <f t="shared" si="17"/>
        <v>1856.9973500000001</v>
      </c>
    </row>
    <row r="47" spans="1:15" ht="47.25" x14ac:dyDescent="0.25">
      <c r="A47" s="100" t="s">
        <v>279</v>
      </c>
      <c r="B47" s="79" t="s">
        <v>238</v>
      </c>
      <c r="C47" s="79" t="s">
        <v>613</v>
      </c>
      <c r="D47" s="79" t="s">
        <v>137</v>
      </c>
      <c r="E47" s="79" t="s">
        <v>236</v>
      </c>
      <c r="F47" s="381"/>
      <c r="G47" s="528">
        <v>1380</v>
      </c>
      <c r="H47" s="529"/>
      <c r="I47" s="155"/>
      <c r="J47" s="529">
        <f>481.017-4.01965</f>
        <v>476.99734999999998</v>
      </c>
      <c r="K47" s="629"/>
      <c r="L47" s="156"/>
      <c r="M47" s="155"/>
      <c r="N47" s="156"/>
      <c r="O47" s="480">
        <f>SUM(G47:N47)</f>
        <v>1856.9973500000001</v>
      </c>
    </row>
    <row r="48" spans="1:15" ht="31.5" x14ac:dyDescent="0.25">
      <c r="A48" s="83" t="s">
        <v>223</v>
      </c>
      <c r="B48" s="75" t="s">
        <v>9</v>
      </c>
      <c r="C48" s="75" t="s">
        <v>612</v>
      </c>
      <c r="D48" s="75" t="s">
        <v>137</v>
      </c>
      <c r="E48" s="75" t="s">
        <v>9</v>
      </c>
      <c r="F48" s="27"/>
      <c r="G48" s="527">
        <f>G49+G65</f>
        <v>9095.5</v>
      </c>
      <c r="H48" s="527">
        <f t="shared" ref="H48:N48" si="18">H49+H65</f>
        <v>0</v>
      </c>
      <c r="I48" s="230">
        <f t="shared" si="18"/>
        <v>0</v>
      </c>
      <c r="J48" s="527">
        <f t="shared" si="18"/>
        <v>0</v>
      </c>
      <c r="K48" s="233">
        <f t="shared" si="18"/>
        <v>230</v>
      </c>
      <c r="L48" s="644">
        <f t="shared" si="18"/>
        <v>0</v>
      </c>
      <c r="M48" s="230">
        <f t="shared" si="18"/>
        <v>0</v>
      </c>
      <c r="N48" s="230">
        <f t="shared" si="18"/>
        <v>0</v>
      </c>
      <c r="O48" s="592">
        <f>O49+O65</f>
        <v>9325.5</v>
      </c>
    </row>
    <row r="49" spans="1:15" ht="86.25" customHeight="1" x14ac:dyDescent="0.25">
      <c r="A49" s="83" t="s">
        <v>283</v>
      </c>
      <c r="B49" s="75" t="s">
        <v>9</v>
      </c>
      <c r="C49" s="75" t="s">
        <v>611</v>
      </c>
      <c r="D49" s="75" t="s">
        <v>137</v>
      </c>
      <c r="E49" s="75" t="s">
        <v>282</v>
      </c>
      <c r="F49" s="27"/>
      <c r="G49" s="527">
        <f>G50+G59+G56+G62</f>
        <v>9045.5</v>
      </c>
      <c r="H49" s="527">
        <f t="shared" ref="H49:O49" si="19">H50+H59+H56+H62</f>
        <v>0</v>
      </c>
      <c r="I49" s="230">
        <f t="shared" si="19"/>
        <v>0</v>
      </c>
      <c r="J49" s="527">
        <f t="shared" si="19"/>
        <v>0</v>
      </c>
      <c r="K49" s="233">
        <f t="shared" si="19"/>
        <v>0</v>
      </c>
      <c r="L49" s="644">
        <f t="shared" si="19"/>
        <v>0</v>
      </c>
      <c r="M49" s="230">
        <f t="shared" si="19"/>
        <v>0</v>
      </c>
      <c r="N49" s="230">
        <f t="shared" si="19"/>
        <v>0</v>
      </c>
      <c r="O49" s="592">
        <f t="shared" si="19"/>
        <v>9045.5</v>
      </c>
    </row>
    <row r="50" spans="1:15" ht="73.5" customHeight="1" x14ac:dyDescent="0.25">
      <c r="A50" s="100" t="s">
        <v>285</v>
      </c>
      <c r="B50" s="79" t="s">
        <v>9</v>
      </c>
      <c r="C50" s="79" t="s">
        <v>610</v>
      </c>
      <c r="D50" s="79" t="s">
        <v>137</v>
      </c>
      <c r="E50" s="79" t="s">
        <v>282</v>
      </c>
      <c r="F50" s="381"/>
      <c r="G50" s="528">
        <f>G51+G53+G55</f>
        <v>3482.2</v>
      </c>
      <c r="H50" s="528">
        <f>H51+H53+H52+H54+H55</f>
        <v>0</v>
      </c>
      <c r="I50" s="231">
        <f t="shared" ref="I50:N50" si="20">I51+I53</f>
        <v>0</v>
      </c>
      <c r="J50" s="528">
        <f t="shared" si="20"/>
        <v>0</v>
      </c>
      <c r="K50" s="234">
        <f t="shared" si="20"/>
        <v>0</v>
      </c>
      <c r="L50" s="645">
        <f t="shared" si="20"/>
        <v>0</v>
      </c>
      <c r="M50" s="231">
        <f t="shared" si="20"/>
        <v>0</v>
      </c>
      <c r="N50" s="231">
        <f t="shared" si="20"/>
        <v>0</v>
      </c>
      <c r="O50" s="480">
        <f>G50+H50</f>
        <v>3482.2</v>
      </c>
    </row>
    <row r="51" spans="1:15" s="115" customFormat="1" ht="78.75" hidden="1" customHeight="1" outlineLevel="1" x14ac:dyDescent="0.3">
      <c r="A51" s="37" t="s">
        <v>903</v>
      </c>
      <c r="B51" s="38" t="s">
        <v>70</v>
      </c>
      <c r="C51" s="38" t="s">
        <v>664</v>
      </c>
      <c r="D51" s="38" t="s">
        <v>137</v>
      </c>
      <c r="E51" s="38" t="s">
        <v>282</v>
      </c>
      <c r="F51" s="38"/>
      <c r="G51" s="353">
        <v>2742.6</v>
      </c>
      <c r="H51" s="165">
        <v>-2742.6</v>
      </c>
      <c r="I51" s="165"/>
      <c r="J51" s="165"/>
      <c r="K51" s="442"/>
      <c r="L51" s="166"/>
      <c r="M51" s="165"/>
      <c r="N51" s="166"/>
      <c r="O51" s="370">
        <f>SUM(G51:N51)</f>
        <v>0</v>
      </c>
    </row>
    <row r="52" spans="1:15" s="115" customFormat="1" ht="78.75" hidden="1" customHeight="1" outlineLevel="1" x14ac:dyDescent="0.3">
      <c r="A52" s="37" t="s">
        <v>903</v>
      </c>
      <c r="B52" s="38" t="s">
        <v>76</v>
      </c>
      <c r="C52" s="38" t="s">
        <v>664</v>
      </c>
      <c r="D52" s="38" t="s">
        <v>137</v>
      </c>
      <c r="E52" s="38" t="s">
        <v>282</v>
      </c>
      <c r="F52" s="38"/>
      <c r="G52" s="353"/>
      <c r="H52" s="165">
        <v>2742.6</v>
      </c>
      <c r="I52" s="165"/>
      <c r="J52" s="165"/>
      <c r="K52" s="442"/>
      <c r="L52" s="166"/>
      <c r="M52" s="165"/>
      <c r="N52" s="166"/>
      <c r="O52" s="370">
        <f>SUM(G52:N52)</f>
        <v>2742.6</v>
      </c>
    </row>
    <row r="53" spans="1:15" ht="83.25" hidden="1" customHeight="1" outlineLevel="1" x14ac:dyDescent="0.3">
      <c r="A53" s="37" t="s">
        <v>904</v>
      </c>
      <c r="B53" s="38" t="s">
        <v>70</v>
      </c>
      <c r="C53" s="38" t="s">
        <v>639</v>
      </c>
      <c r="D53" s="38" t="s">
        <v>137</v>
      </c>
      <c r="E53" s="38" t="s">
        <v>282</v>
      </c>
      <c r="F53" s="38"/>
      <c r="G53" s="353">
        <v>739.6</v>
      </c>
      <c r="H53" s="165">
        <v>-739.6</v>
      </c>
      <c r="I53" s="165"/>
      <c r="J53" s="165"/>
      <c r="K53" s="442"/>
      <c r="L53" s="166"/>
      <c r="M53" s="165"/>
      <c r="N53" s="166"/>
      <c r="O53" s="370">
        <f>SUM(G53:N53)</f>
        <v>0</v>
      </c>
    </row>
    <row r="54" spans="1:15" ht="83.25" hidden="1" customHeight="1" outlineLevel="1" x14ac:dyDescent="0.3">
      <c r="A54" s="37" t="s">
        <v>904</v>
      </c>
      <c r="B54" s="38" t="s">
        <v>1158</v>
      </c>
      <c r="C54" s="38" t="s">
        <v>639</v>
      </c>
      <c r="D54" s="38" t="s">
        <v>137</v>
      </c>
      <c r="E54" s="38" t="s">
        <v>282</v>
      </c>
      <c r="F54" s="38"/>
      <c r="G54" s="353"/>
      <c r="H54" s="165">
        <v>214.6</v>
      </c>
      <c r="I54" s="165"/>
      <c r="J54" s="165"/>
      <c r="K54" s="442"/>
      <c r="L54" s="166"/>
      <c r="M54" s="165"/>
      <c r="N54" s="166"/>
      <c r="O54" s="370">
        <f>SUM(G54:N54)</f>
        <v>214.6</v>
      </c>
    </row>
    <row r="55" spans="1:15" ht="83.25" hidden="1" customHeight="1" outlineLevel="1" x14ac:dyDescent="0.3">
      <c r="A55" s="37" t="s">
        <v>904</v>
      </c>
      <c r="B55" s="38" t="s">
        <v>1157</v>
      </c>
      <c r="C55" s="38" t="s">
        <v>639</v>
      </c>
      <c r="D55" s="38" t="s">
        <v>137</v>
      </c>
      <c r="E55" s="38" t="s">
        <v>282</v>
      </c>
      <c r="F55" s="38"/>
      <c r="G55" s="353"/>
      <c r="H55" s="165">
        <v>525</v>
      </c>
      <c r="I55" s="165"/>
      <c r="J55" s="165"/>
      <c r="K55" s="442"/>
      <c r="L55" s="166"/>
      <c r="M55" s="165"/>
      <c r="N55" s="166"/>
      <c r="O55" s="370">
        <f>SUBTOTAL(9,G55:N55)</f>
        <v>0</v>
      </c>
    </row>
    <row r="56" spans="1:15" ht="64.5" customHeight="1" collapsed="1" x14ac:dyDescent="0.25">
      <c r="A56" s="100" t="s">
        <v>359</v>
      </c>
      <c r="B56" s="79" t="s">
        <v>9</v>
      </c>
      <c r="C56" s="79" t="s">
        <v>609</v>
      </c>
      <c r="D56" s="79" t="s">
        <v>137</v>
      </c>
      <c r="E56" s="79" t="s">
        <v>282</v>
      </c>
      <c r="F56" s="381"/>
      <c r="G56" s="528">
        <f>G57</f>
        <v>101.3</v>
      </c>
      <c r="H56" s="528">
        <f>H57+H58</f>
        <v>0</v>
      </c>
      <c r="I56" s="231">
        <f t="shared" ref="I56:N56" si="21">I57</f>
        <v>0</v>
      </c>
      <c r="J56" s="528">
        <f t="shared" si="21"/>
        <v>0</v>
      </c>
      <c r="K56" s="234">
        <f t="shared" si="21"/>
        <v>0</v>
      </c>
      <c r="L56" s="645">
        <f t="shared" si="21"/>
        <v>0</v>
      </c>
      <c r="M56" s="231">
        <f t="shared" si="21"/>
        <v>0</v>
      </c>
      <c r="N56" s="231">
        <f t="shared" si="21"/>
        <v>0</v>
      </c>
      <c r="O56" s="480">
        <f>O57+O58</f>
        <v>101.3</v>
      </c>
    </row>
    <row r="57" spans="1:15" ht="60" hidden="1" customHeight="1" x14ac:dyDescent="0.3">
      <c r="A57" s="37" t="s">
        <v>215</v>
      </c>
      <c r="B57" s="38" t="s">
        <v>70</v>
      </c>
      <c r="C57" s="38" t="s">
        <v>640</v>
      </c>
      <c r="D57" s="38" t="s">
        <v>137</v>
      </c>
      <c r="E57" s="38" t="s">
        <v>282</v>
      </c>
      <c r="F57" s="38"/>
      <c r="G57" s="232">
        <v>101.3</v>
      </c>
      <c r="H57" s="165">
        <v>-101.3</v>
      </c>
      <c r="I57" s="165"/>
      <c r="J57" s="165"/>
      <c r="K57" s="165"/>
      <c r="L57" s="21"/>
      <c r="M57" s="165"/>
      <c r="N57" s="166"/>
      <c r="O57" s="167">
        <f>SUM(G57:N57)</f>
        <v>0</v>
      </c>
    </row>
    <row r="58" spans="1:15" ht="60" hidden="1" customHeight="1" x14ac:dyDescent="0.3">
      <c r="A58" s="37" t="s">
        <v>215</v>
      </c>
      <c r="B58" s="38" t="s">
        <v>76</v>
      </c>
      <c r="C58" s="38" t="s">
        <v>640</v>
      </c>
      <c r="D58" s="38" t="s">
        <v>137</v>
      </c>
      <c r="E58" s="38" t="s">
        <v>282</v>
      </c>
      <c r="F58" s="38"/>
      <c r="G58" s="232"/>
      <c r="H58" s="165">
        <v>101.3</v>
      </c>
      <c r="I58" s="165"/>
      <c r="J58" s="165"/>
      <c r="K58" s="165"/>
      <c r="L58" s="21"/>
      <c r="M58" s="165"/>
      <c r="N58" s="166"/>
      <c r="O58" s="167">
        <f>SUM(G58:N58)</f>
        <v>101.3</v>
      </c>
    </row>
    <row r="59" spans="1:15" s="114" customFormat="1" ht="86.25" customHeight="1" x14ac:dyDescent="0.25">
      <c r="A59" s="100" t="s">
        <v>287</v>
      </c>
      <c r="B59" s="79" t="s">
        <v>9</v>
      </c>
      <c r="C59" s="79" t="s">
        <v>608</v>
      </c>
      <c r="D59" s="79" t="s">
        <v>137</v>
      </c>
      <c r="E59" s="79" t="s">
        <v>282</v>
      </c>
      <c r="F59" s="381"/>
      <c r="G59" s="528">
        <f t="shared" ref="G59:N59" si="22">G60</f>
        <v>685</v>
      </c>
      <c r="H59" s="528">
        <f>H60+H61</f>
        <v>0</v>
      </c>
      <c r="I59" s="231">
        <f t="shared" si="22"/>
        <v>0</v>
      </c>
      <c r="J59" s="528">
        <f t="shared" si="22"/>
        <v>0</v>
      </c>
      <c r="K59" s="234">
        <f t="shared" si="22"/>
        <v>0</v>
      </c>
      <c r="L59" s="645">
        <f t="shared" si="22"/>
        <v>0</v>
      </c>
      <c r="M59" s="231">
        <f t="shared" si="22"/>
        <v>0</v>
      </c>
      <c r="N59" s="231">
        <f t="shared" si="22"/>
        <v>0</v>
      </c>
      <c r="O59" s="480">
        <f>O60+O61</f>
        <v>685</v>
      </c>
    </row>
    <row r="60" spans="1:15" s="114" customFormat="1" ht="61.5" hidden="1" customHeight="1" x14ac:dyDescent="0.3">
      <c r="A60" s="37" t="s">
        <v>216</v>
      </c>
      <c r="B60" s="38" t="s">
        <v>70</v>
      </c>
      <c r="C60" s="38" t="s">
        <v>641</v>
      </c>
      <c r="D60" s="38" t="s">
        <v>137</v>
      </c>
      <c r="E60" s="38" t="s">
        <v>282</v>
      </c>
      <c r="F60" s="38"/>
      <c r="G60" s="232">
        <v>685</v>
      </c>
      <c r="H60" s="165">
        <v>-685</v>
      </c>
      <c r="I60" s="165"/>
      <c r="J60" s="165"/>
      <c r="K60" s="165"/>
      <c r="L60" s="21"/>
      <c r="M60" s="165"/>
      <c r="N60" s="166"/>
      <c r="O60" s="167">
        <f>SUM(G60:N60)</f>
        <v>0</v>
      </c>
    </row>
    <row r="61" spans="1:15" s="114" customFormat="1" ht="61.5" hidden="1" customHeight="1" x14ac:dyDescent="0.3">
      <c r="A61" s="37" t="s">
        <v>216</v>
      </c>
      <c r="B61" s="38" t="s">
        <v>76</v>
      </c>
      <c r="C61" s="38" t="s">
        <v>641</v>
      </c>
      <c r="D61" s="38" t="s">
        <v>137</v>
      </c>
      <c r="E61" s="38" t="s">
        <v>282</v>
      </c>
      <c r="F61" s="38"/>
      <c r="G61" s="232"/>
      <c r="H61" s="165">
        <v>685</v>
      </c>
      <c r="I61" s="165"/>
      <c r="J61" s="165"/>
      <c r="K61" s="165"/>
      <c r="L61" s="21"/>
      <c r="M61" s="165"/>
      <c r="N61" s="166"/>
      <c r="O61" s="167">
        <f>SUM(G61:N61)</f>
        <v>685</v>
      </c>
    </row>
    <row r="62" spans="1:15" ht="31.5" x14ac:dyDescent="0.25">
      <c r="A62" s="100" t="s">
        <v>290</v>
      </c>
      <c r="B62" s="79" t="s">
        <v>9</v>
      </c>
      <c r="C62" s="79" t="s">
        <v>607</v>
      </c>
      <c r="D62" s="79" t="s">
        <v>137</v>
      </c>
      <c r="E62" s="79" t="s">
        <v>282</v>
      </c>
      <c r="F62" s="381"/>
      <c r="G62" s="528">
        <f t="shared" ref="G62:N62" si="23">G63</f>
        <v>4777</v>
      </c>
      <c r="H62" s="528">
        <f>H63+H64</f>
        <v>0</v>
      </c>
      <c r="I62" s="231">
        <f t="shared" si="23"/>
        <v>0</v>
      </c>
      <c r="J62" s="528">
        <f t="shared" si="23"/>
        <v>0</v>
      </c>
      <c r="K62" s="234">
        <f t="shared" si="23"/>
        <v>0</v>
      </c>
      <c r="L62" s="645">
        <f t="shared" si="23"/>
        <v>0</v>
      </c>
      <c r="M62" s="231">
        <f t="shared" si="23"/>
        <v>0</v>
      </c>
      <c r="N62" s="231">
        <f t="shared" si="23"/>
        <v>0</v>
      </c>
      <c r="O62" s="480">
        <f>O63+O64</f>
        <v>4777</v>
      </c>
    </row>
    <row r="63" spans="1:15" ht="37.5" hidden="1" customHeight="1" x14ac:dyDescent="0.3">
      <c r="A63" s="37" t="s">
        <v>292</v>
      </c>
      <c r="B63" s="38" t="s">
        <v>70</v>
      </c>
      <c r="C63" s="38" t="s">
        <v>642</v>
      </c>
      <c r="D63" s="38" t="s">
        <v>137</v>
      </c>
      <c r="E63" s="38" t="s">
        <v>282</v>
      </c>
      <c r="F63" s="38"/>
      <c r="G63" s="232">
        <v>4777</v>
      </c>
      <c r="H63" s="165">
        <v>-4777</v>
      </c>
      <c r="I63" s="165"/>
      <c r="J63" s="165"/>
      <c r="K63" s="165"/>
      <c r="L63" s="21"/>
      <c r="M63" s="165"/>
      <c r="N63" s="166"/>
      <c r="O63" s="167">
        <f>SUM(G63:N63)</f>
        <v>0</v>
      </c>
    </row>
    <row r="64" spans="1:15" ht="37.5" hidden="1" customHeight="1" x14ac:dyDescent="0.3">
      <c r="A64" s="37" t="s">
        <v>292</v>
      </c>
      <c r="B64" s="38" t="s">
        <v>76</v>
      </c>
      <c r="C64" s="38" t="s">
        <v>642</v>
      </c>
      <c r="D64" s="38" t="s">
        <v>137</v>
      </c>
      <c r="E64" s="38" t="s">
        <v>282</v>
      </c>
      <c r="F64" s="38"/>
      <c r="G64" s="232"/>
      <c r="H64" s="165">
        <v>4777</v>
      </c>
      <c r="I64" s="165"/>
      <c r="J64" s="165"/>
      <c r="K64" s="165"/>
      <c r="L64" s="21"/>
      <c r="M64" s="165"/>
      <c r="N64" s="166"/>
      <c r="O64" s="167">
        <f>SUM(G64:N64)</f>
        <v>4777</v>
      </c>
    </row>
    <row r="65" spans="1:15" ht="33" customHeight="1" x14ac:dyDescent="0.25">
      <c r="A65" s="14" t="s">
        <v>921</v>
      </c>
      <c r="B65" s="27" t="s">
        <v>9</v>
      </c>
      <c r="C65" s="27" t="s">
        <v>919</v>
      </c>
      <c r="D65" s="27" t="s">
        <v>137</v>
      </c>
      <c r="E65" s="27" t="s">
        <v>282</v>
      </c>
      <c r="F65" s="27"/>
      <c r="G65" s="527">
        <f>G66</f>
        <v>50</v>
      </c>
      <c r="H65" s="527">
        <f t="shared" ref="H65:N66" si="24">H66</f>
        <v>0</v>
      </c>
      <c r="I65" s="230">
        <f t="shared" si="24"/>
        <v>0</v>
      </c>
      <c r="J65" s="527">
        <f t="shared" si="24"/>
        <v>0</v>
      </c>
      <c r="K65" s="233">
        <f t="shared" si="24"/>
        <v>230</v>
      </c>
      <c r="L65" s="644">
        <f t="shared" si="24"/>
        <v>0</v>
      </c>
      <c r="M65" s="230">
        <f t="shared" si="24"/>
        <v>0</v>
      </c>
      <c r="N65" s="230">
        <f t="shared" si="24"/>
        <v>0</v>
      </c>
      <c r="O65" s="592">
        <f>O66</f>
        <v>280</v>
      </c>
    </row>
    <row r="66" spans="1:15" ht="43.5" customHeight="1" x14ac:dyDescent="0.25">
      <c r="A66" s="19" t="s">
        <v>922</v>
      </c>
      <c r="B66" s="381" t="s">
        <v>9</v>
      </c>
      <c r="C66" s="381" t="s">
        <v>920</v>
      </c>
      <c r="D66" s="381" t="s">
        <v>137</v>
      </c>
      <c r="E66" s="381" t="s">
        <v>282</v>
      </c>
      <c r="F66" s="381"/>
      <c r="G66" s="528">
        <f>G67</f>
        <v>50</v>
      </c>
      <c r="H66" s="528">
        <f>H67+H68</f>
        <v>0</v>
      </c>
      <c r="I66" s="231">
        <f t="shared" si="24"/>
        <v>0</v>
      </c>
      <c r="J66" s="528">
        <f t="shared" si="24"/>
        <v>0</v>
      </c>
      <c r="K66" s="234">
        <f>K67+K68</f>
        <v>230</v>
      </c>
      <c r="L66" s="645">
        <f t="shared" si="24"/>
        <v>0</v>
      </c>
      <c r="M66" s="231">
        <f t="shared" si="24"/>
        <v>0</v>
      </c>
      <c r="N66" s="231">
        <f t="shared" si="24"/>
        <v>0</v>
      </c>
      <c r="O66" s="480">
        <f>O67+O68</f>
        <v>280</v>
      </c>
    </row>
    <row r="67" spans="1:15" ht="42" hidden="1" customHeight="1" x14ac:dyDescent="0.3">
      <c r="A67" s="37" t="s">
        <v>217</v>
      </c>
      <c r="B67" s="38" t="s">
        <v>70</v>
      </c>
      <c r="C67" s="38" t="s">
        <v>918</v>
      </c>
      <c r="D67" s="38" t="s">
        <v>137</v>
      </c>
      <c r="E67" s="38" t="s">
        <v>282</v>
      </c>
      <c r="F67" s="38"/>
      <c r="G67" s="232">
        <v>50</v>
      </c>
      <c r="H67" s="165">
        <v>-50</v>
      </c>
      <c r="I67" s="165"/>
      <c r="J67" s="165"/>
      <c r="K67" s="165"/>
      <c r="L67" s="21"/>
      <c r="M67" s="165"/>
      <c r="N67" s="166"/>
      <c r="O67" s="370">
        <f>SUM(G67:N67)</f>
        <v>0</v>
      </c>
    </row>
    <row r="68" spans="1:15" ht="33" hidden="1" customHeight="1" x14ac:dyDescent="0.3">
      <c r="A68" s="37" t="s">
        <v>217</v>
      </c>
      <c r="B68" s="38" t="s">
        <v>76</v>
      </c>
      <c r="C68" s="38" t="s">
        <v>918</v>
      </c>
      <c r="D68" s="38" t="s">
        <v>137</v>
      </c>
      <c r="E68" s="38" t="s">
        <v>282</v>
      </c>
      <c r="F68" s="38"/>
      <c r="G68" s="232"/>
      <c r="H68" s="165">
        <v>50</v>
      </c>
      <c r="I68" s="165"/>
      <c r="J68" s="165"/>
      <c r="K68" s="165">
        <v>230</v>
      </c>
      <c r="L68" s="21"/>
      <c r="M68" s="165"/>
      <c r="N68" s="166"/>
      <c r="O68" s="370">
        <f>SUM(G68:N68)</f>
        <v>280</v>
      </c>
    </row>
    <row r="69" spans="1:15" x14ac:dyDescent="0.25">
      <c r="A69" s="83" t="s">
        <v>294</v>
      </c>
      <c r="B69" s="75" t="s">
        <v>9</v>
      </c>
      <c r="C69" s="75" t="s">
        <v>606</v>
      </c>
      <c r="D69" s="75" t="s">
        <v>137</v>
      </c>
      <c r="E69" s="75" t="s">
        <v>9</v>
      </c>
      <c r="F69" s="27"/>
      <c r="G69" s="527">
        <f t="shared" ref="G69:O69" si="25">G70</f>
        <v>164.4</v>
      </c>
      <c r="H69" s="527">
        <f t="shared" si="25"/>
        <v>0</v>
      </c>
      <c r="I69" s="230">
        <f t="shared" si="25"/>
        <v>0</v>
      </c>
      <c r="J69" s="527">
        <f t="shared" si="25"/>
        <v>0</v>
      </c>
      <c r="K69" s="233">
        <f t="shared" si="25"/>
        <v>0</v>
      </c>
      <c r="L69" s="644">
        <f t="shared" si="25"/>
        <v>0</v>
      </c>
      <c r="M69" s="230">
        <f t="shared" si="25"/>
        <v>0</v>
      </c>
      <c r="N69" s="230">
        <f t="shared" si="25"/>
        <v>0</v>
      </c>
      <c r="O69" s="592">
        <f t="shared" si="25"/>
        <v>164.4</v>
      </c>
    </row>
    <row r="70" spans="1:15" s="114" customFormat="1" x14ac:dyDescent="0.25">
      <c r="A70" s="83" t="s">
        <v>296</v>
      </c>
      <c r="B70" s="75" t="s">
        <v>9</v>
      </c>
      <c r="C70" s="75" t="s">
        <v>605</v>
      </c>
      <c r="D70" s="75" t="s">
        <v>137</v>
      </c>
      <c r="E70" s="75" t="s">
        <v>282</v>
      </c>
      <c r="F70" s="27"/>
      <c r="G70" s="527">
        <f>G71+G72+G74</f>
        <v>164.4</v>
      </c>
      <c r="H70" s="527">
        <f t="shared" ref="H70:O70" si="26">H71+H72+H74</f>
        <v>0</v>
      </c>
      <c r="I70" s="230">
        <f t="shared" si="26"/>
        <v>0</v>
      </c>
      <c r="J70" s="527">
        <f t="shared" si="26"/>
        <v>0</v>
      </c>
      <c r="K70" s="233">
        <f t="shared" si="26"/>
        <v>0</v>
      </c>
      <c r="L70" s="644">
        <f t="shared" si="26"/>
        <v>0</v>
      </c>
      <c r="M70" s="230">
        <f t="shared" si="26"/>
        <v>0</v>
      </c>
      <c r="N70" s="230">
        <f t="shared" si="26"/>
        <v>0</v>
      </c>
      <c r="O70" s="592">
        <f t="shared" si="26"/>
        <v>164.4</v>
      </c>
    </row>
    <row r="71" spans="1:15" s="114" customFormat="1" ht="31.5" x14ac:dyDescent="0.25">
      <c r="A71" s="100" t="s">
        <v>298</v>
      </c>
      <c r="B71" s="79" t="s">
        <v>299</v>
      </c>
      <c r="C71" s="79" t="s">
        <v>603</v>
      </c>
      <c r="D71" s="79" t="s">
        <v>137</v>
      </c>
      <c r="E71" s="79" t="s">
        <v>282</v>
      </c>
      <c r="F71" s="381"/>
      <c r="G71" s="528">
        <v>104.9</v>
      </c>
      <c r="H71" s="529"/>
      <c r="I71" s="155"/>
      <c r="J71" s="529"/>
      <c r="K71" s="629"/>
      <c r="L71" s="156"/>
      <c r="M71" s="155"/>
      <c r="N71" s="156"/>
      <c r="O71" s="480">
        <f>SUM(G71:N71)</f>
        <v>104.9</v>
      </c>
    </row>
    <row r="72" spans="1:15" ht="16.5" customHeight="1" x14ac:dyDescent="0.25">
      <c r="A72" s="100" t="s">
        <v>301</v>
      </c>
      <c r="B72" s="79" t="s">
        <v>299</v>
      </c>
      <c r="C72" s="79" t="s">
        <v>604</v>
      </c>
      <c r="D72" s="79" t="s">
        <v>137</v>
      </c>
      <c r="E72" s="79" t="s">
        <v>282</v>
      </c>
      <c r="F72" s="381"/>
      <c r="G72" s="528">
        <v>59.1</v>
      </c>
      <c r="H72" s="529"/>
      <c r="I72" s="155"/>
      <c r="J72" s="529"/>
      <c r="K72" s="629"/>
      <c r="L72" s="156"/>
      <c r="M72" s="155"/>
      <c r="N72" s="156"/>
      <c r="O72" s="480">
        <f>SUM(G72:N72)</f>
        <v>59.1</v>
      </c>
    </row>
    <row r="73" spans="1:15" ht="22.5" hidden="1" customHeight="1" x14ac:dyDescent="0.3">
      <c r="A73" s="19" t="s">
        <v>303</v>
      </c>
      <c r="B73" s="381" t="s">
        <v>299</v>
      </c>
      <c r="C73" s="381" t="s">
        <v>729</v>
      </c>
      <c r="D73" s="381" t="s">
        <v>137</v>
      </c>
      <c r="E73" s="381" t="s">
        <v>282</v>
      </c>
      <c r="F73" s="381"/>
      <c r="G73" s="159"/>
      <c r="H73" s="155"/>
      <c r="I73" s="155"/>
      <c r="J73" s="155"/>
      <c r="K73" s="155"/>
      <c r="L73" s="155"/>
      <c r="M73" s="155"/>
      <c r="N73" s="156"/>
      <c r="O73" s="157">
        <f>SUM(G73:N73)</f>
        <v>0</v>
      </c>
    </row>
    <row r="74" spans="1:15" ht="36" customHeight="1" x14ac:dyDescent="0.25">
      <c r="A74" s="100" t="s">
        <v>303</v>
      </c>
      <c r="B74" s="79" t="s">
        <v>299</v>
      </c>
      <c r="C74" s="79" t="s">
        <v>690</v>
      </c>
      <c r="D74" s="79" t="s">
        <v>137</v>
      </c>
      <c r="E74" s="79" t="s">
        <v>282</v>
      </c>
      <c r="F74" s="381"/>
      <c r="G74" s="528">
        <v>0.4</v>
      </c>
      <c r="H74" s="529"/>
      <c r="I74" s="155"/>
      <c r="J74" s="529"/>
      <c r="K74" s="629"/>
      <c r="L74" s="156"/>
      <c r="M74" s="155"/>
      <c r="N74" s="156"/>
      <c r="O74" s="480">
        <f>SUM(G74:N74)</f>
        <v>0.4</v>
      </c>
    </row>
    <row r="75" spans="1:15" ht="31.5" x14ac:dyDescent="0.25">
      <c r="A75" s="83" t="s">
        <v>305</v>
      </c>
      <c r="B75" s="75" t="s">
        <v>9</v>
      </c>
      <c r="C75" s="75" t="s">
        <v>601</v>
      </c>
      <c r="D75" s="75" t="s">
        <v>137</v>
      </c>
      <c r="E75" s="75" t="s">
        <v>9</v>
      </c>
      <c r="F75" s="27"/>
      <c r="G75" s="527">
        <f>G76+G86</f>
        <v>25945.899999999998</v>
      </c>
      <c r="H75" s="527">
        <f t="shared" ref="H75:O75" si="27">H76+H86</f>
        <v>5454.585</v>
      </c>
      <c r="I75" s="230">
        <f t="shared" si="27"/>
        <v>0</v>
      </c>
      <c r="J75" s="527">
        <f>J76+J86</f>
        <v>594.11741000000075</v>
      </c>
      <c r="K75" s="233">
        <f t="shared" si="27"/>
        <v>934</v>
      </c>
      <c r="L75" s="644">
        <f t="shared" si="27"/>
        <v>0</v>
      </c>
      <c r="M75" s="230">
        <f t="shared" si="27"/>
        <v>0</v>
      </c>
      <c r="N75" s="230">
        <f t="shared" si="27"/>
        <v>0</v>
      </c>
      <c r="O75" s="592">
        <f t="shared" si="27"/>
        <v>32928.60241</v>
      </c>
    </row>
    <row r="76" spans="1:15" s="114" customFormat="1" x14ac:dyDescent="0.25">
      <c r="A76" s="162" t="s">
        <v>307</v>
      </c>
      <c r="B76" s="75" t="s">
        <v>9</v>
      </c>
      <c r="C76" s="75" t="s">
        <v>602</v>
      </c>
      <c r="D76" s="75" t="s">
        <v>137</v>
      </c>
      <c r="E76" s="75" t="s">
        <v>309</v>
      </c>
      <c r="F76" s="27"/>
      <c r="G76" s="527">
        <f>G77+G78</f>
        <v>25297.599999999999</v>
      </c>
      <c r="H76" s="527">
        <f t="shared" ref="H76:O76" si="28">H77+H78</f>
        <v>1165.3</v>
      </c>
      <c r="I76" s="230">
        <f t="shared" si="28"/>
        <v>0</v>
      </c>
      <c r="J76" s="527">
        <f t="shared" si="28"/>
        <v>0</v>
      </c>
      <c r="K76" s="233">
        <f t="shared" si="28"/>
        <v>634</v>
      </c>
      <c r="L76" s="644">
        <f t="shared" si="28"/>
        <v>0</v>
      </c>
      <c r="M76" s="230">
        <f t="shared" si="28"/>
        <v>0</v>
      </c>
      <c r="N76" s="230">
        <f t="shared" si="28"/>
        <v>0</v>
      </c>
      <c r="O76" s="592">
        <f t="shared" si="28"/>
        <v>27096.899999999998</v>
      </c>
    </row>
    <row r="77" spans="1:15" s="114" customFormat="1" x14ac:dyDescent="0.25">
      <c r="A77" s="163" t="s">
        <v>472</v>
      </c>
      <c r="B77" s="79" t="s">
        <v>22</v>
      </c>
      <c r="C77" s="79" t="s">
        <v>600</v>
      </c>
      <c r="D77" s="79" t="s">
        <v>137</v>
      </c>
      <c r="E77" s="79" t="s">
        <v>309</v>
      </c>
      <c r="F77" s="381"/>
      <c r="G77" s="528">
        <f>24606+621.6</f>
        <v>25227.599999999999</v>
      </c>
      <c r="H77" s="529"/>
      <c r="I77" s="155"/>
      <c r="J77" s="529"/>
      <c r="K77" s="629">
        <v>-690</v>
      </c>
      <c r="L77" s="156"/>
      <c r="M77" s="155"/>
      <c r="N77" s="156"/>
      <c r="O77" s="480">
        <f t="shared" ref="O77:O85" si="29">SUM(G77:N77)</f>
        <v>24537.599999999999</v>
      </c>
    </row>
    <row r="78" spans="1:15" x14ac:dyDescent="0.25">
      <c r="A78" s="163" t="s">
        <v>472</v>
      </c>
      <c r="B78" s="79" t="s">
        <v>76</v>
      </c>
      <c r="C78" s="79" t="s">
        <v>600</v>
      </c>
      <c r="D78" s="79" t="s">
        <v>137</v>
      </c>
      <c r="E78" s="79" t="s">
        <v>309</v>
      </c>
      <c r="F78" s="381"/>
      <c r="G78" s="528">
        <f>G79+G80</f>
        <v>70</v>
      </c>
      <c r="H78" s="529">
        <f>H79+H80+H81+H85</f>
        <v>1165.3</v>
      </c>
      <c r="I78" s="155"/>
      <c r="J78" s="529">
        <f>J79+J80</f>
        <v>0</v>
      </c>
      <c r="K78" s="629">
        <f>K82+K83+K84</f>
        <v>1324</v>
      </c>
      <c r="L78" s="156">
        <f>L79+L80</f>
        <v>0</v>
      </c>
      <c r="M78" s="155"/>
      <c r="N78" s="156"/>
      <c r="O78" s="480">
        <f t="shared" si="29"/>
        <v>2559.3000000000002</v>
      </c>
    </row>
    <row r="79" spans="1:15" ht="32.25" hidden="1" customHeight="1" outlineLevel="1" x14ac:dyDescent="0.3">
      <c r="A79" s="39" t="s">
        <v>515</v>
      </c>
      <c r="B79" s="38"/>
      <c r="C79" s="38"/>
      <c r="D79" s="38"/>
      <c r="E79" s="38"/>
      <c r="F79" s="38"/>
      <c r="G79" s="232">
        <v>10</v>
      </c>
      <c r="H79" s="155"/>
      <c r="I79" s="155"/>
      <c r="J79" s="155"/>
      <c r="K79" s="629"/>
      <c r="L79" s="156"/>
      <c r="M79" s="155"/>
      <c r="N79" s="156"/>
      <c r="O79" s="371">
        <f t="shared" si="29"/>
        <v>10</v>
      </c>
    </row>
    <row r="80" spans="1:15" ht="34.5" hidden="1" customHeight="1" outlineLevel="1" x14ac:dyDescent="0.3">
      <c r="A80" s="39" t="s">
        <v>465</v>
      </c>
      <c r="B80" s="38"/>
      <c r="C80" s="38"/>
      <c r="D80" s="38"/>
      <c r="E80" s="38"/>
      <c r="F80" s="38"/>
      <c r="G80" s="205">
        <v>60</v>
      </c>
      <c r="H80" s="155"/>
      <c r="I80" s="155"/>
      <c r="J80" s="155"/>
      <c r="K80" s="629"/>
      <c r="L80" s="156"/>
      <c r="M80" s="155"/>
      <c r="N80" s="156"/>
      <c r="O80" s="371">
        <f t="shared" si="29"/>
        <v>60</v>
      </c>
    </row>
    <row r="81" spans="1:15" ht="45" hidden="1" customHeight="1" outlineLevel="1" x14ac:dyDescent="0.3">
      <c r="A81" s="39" t="s">
        <v>730</v>
      </c>
      <c r="B81" s="38"/>
      <c r="C81" s="38"/>
      <c r="D81" s="38"/>
      <c r="E81" s="38"/>
      <c r="F81" s="38"/>
      <c r="G81" s="205">
        <v>0</v>
      </c>
      <c r="H81" s="155"/>
      <c r="I81" s="155"/>
      <c r="J81" s="155"/>
      <c r="K81" s="629"/>
      <c r="L81" s="156"/>
      <c r="M81" s="155"/>
      <c r="N81" s="156"/>
      <c r="O81" s="371">
        <f t="shared" si="29"/>
        <v>0</v>
      </c>
    </row>
    <row r="82" spans="1:15" ht="45" hidden="1" customHeight="1" outlineLevel="1" x14ac:dyDescent="0.3">
      <c r="A82" s="39" t="s">
        <v>1229</v>
      </c>
      <c r="B82" s="38"/>
      <c r="C82" s="38"/>
      <c r="D82" s="38"/>
      <c r="E82" s="38"/>
      <c r="F82" s="38"/>
      <c r="G82" s="205"/>
      <c r="H82" s="155"/>
      <c r="I82" s="155"/>
      <c r="J82" s="155"/>
      <c r="K82" s="629">
        <v>330</v>
      </c>
      <c r="L82" s="156"/>
      <c r="M82" s="155"/>
      <c r="N82" s="156"/>
      <c r="O82" s="371">
        <f t="shared" si="29"/>
        <v>330</v>
      </c>
    </row>
    <row r="83" spans="1:15" ht="45" hidden="1" customHeight="1" outlineLevel="1" x14ac:dyDescent="0.3">
      <c r="A83" s="39" t="s">
        <v>1230</v>
      </c>
      <c r="B83" s="38"/>
      <c r="C83" s="38"/>
      <c r="D83" s="38"/>
      <c r="E83" s="38"/>
      <c r="F83" s="38"/>
      <c r="G83" s="205"/>
      <c r="H83" s="155"/>
      <c r="I83" s="155"/>
      <c r="J83" s="155"/>
      <c r="K83" s="629">
        <v>360</v>
      </c>
      <c r="L83" s="156"/>
      <c r="M83" s="155"/>
      <c r="N83" s="156"/>
      <c r="O83" s="371">
        <f t="shared" si="29"/>
        <v>360</v>
      </c>
    </row>
    <row r="84" spans="1:15" ht="45" hidden="1" customHeight="1" outlineLevel="1" x14ac:dyDescent="0.3">
      <c r="A84" s="589" t="s">
        <v>1228</v>
      </c>
      <c r="B84" s="38"/>
      <c r="C84" s="38"/>
      <c r="D84" s="38"/>
      <c r="E84" s="38"/>
      <c r="F84" s="38"/>
      <c r="G84" s="205"/>
      <c r="H84" s="155"/>
      <c r="I84" s="155"/>
      <c r="J84" s="155"/>
      <c r="K84" s="629">
        <v>634</v>
      </c>
      <c r="L84" s="156"/>
      <c r="M84" s="155"/>
      <c r="N84" s="156"/>
      <c r="O84" s="371">
        <f>SUM(G84:N84)</f>
        <v>634</v>
      </c>
    </row>
    <row r="85" spans="1:15" ht="48.75" hidden="1" customHeight="1" outlineLevel="1" x14ac:dyDescent="0.3">
      <c r="A85" s="397" t="s">
        <v>1170</v>
      </c>
      <c r="B85" s="38"/>
      <c r="C85" s="38"/>
      <c r="D85" s="38"/>
      <c r="E85" s="38"/>
      <c r="F85" s="38"/>
      <c r="G85" s="205"/>
      <c r="H85" s="155">
        <v>1165.3</v>
      </c>
      <c r="I85" s="155"/>
      <c r="J85" s="155"/>
      <c r="K85" s="629"/>
      <c r="L85" s="156"/>
      <c r="M85" s="155"/>
      <c r="N85" s="156"/>
      <c r="O85" s="371">
        <f t="shared" si="29"/>
        <v>1165.3</v>
      </c>
    </row>
    <row r="86" spans="1:15" collapsed="1" x14ac:dyDescent="0.25">
      <c r="A86" s="162" t="s">
        <v>311</v>
      </c>
      <c r="B86" s="75" t="s">
        <v>9</v>
      </c>
      <c r="C86" s="75" t="s">
        <v>599</v>
      </c>
      <c r="D86" s="75" t="s">
        <v>137</v>
      </c>
      <c r="E86" s="75" t="s">
        <v>309</v>
      </c>
      <c r="F86" s="27"/>
      <c r="G86" s="527">
        <f>G88+G87</f>
        <v>648.30000000000007</v>
      </c>
      <c r="H86" s="527">
        <f t="shared" ref="H86:N86" si="30">H88+H87</f>
        <v>4289.2849999999999</v>
      </c>
      <c r="I86" s="230">
        <f t="shared" si="30"/>
        <v>0</v>
      </c>
      <c r="J86" s="527">
        <f>J88+J87+J93</f>
        <v>594.11741000000075</v>
      </c>
      <c r="K86" s="233">
        <f>K88+K87+K93</f>
        <v>300</v>
      </c>
      <c r="L86" s="644">
        <f t="shared" si="30"/>
        <v>0</v>
      </c>
      <c r="M86" s="230">
        <f t="shared" si="30"/>
        <v>0</v>
      </c>
      <c r="N86" s="230">
        <f t="shared" si="30"/>
        <v>0</v>
      </c>
      <c r="O86" s="592">
        <f>O88+O87+O93</f>
        <v>5831.7024100000008</v>
      </c>
    </row>
    <row r="87" spans="1:15" s="114" customFormat="1" ht="42" hidden="1" customHeight="1" x14ac:dyDescent="0.3">
      <c r="A87" s="163" t="s">
        <v>473</v>
      </c>
      <c r="B87" s="79" t="s">
        <v>22</v>
      </c>
      <c r="C87" s="79" t="s">
        <v>598</v>
      </c>
      <c r="D87" s="79" t="s">
        <v>137</v>
      </c>
      <c r="E87" s="79" t="s">
        <v>309</v>
      </c>
      <c r="F87" s="27"/>
      <c r="G87" s="530">
        <v>0</v>
      </c>
      <c r="H87" s="531"/>
      <c r="I87" s="152"/>
      <c r="J87" s="531"/>
      <c r="K87" s="152"/>
      <c r="L87" s="11"/>
      <c r="M87" s="160"/>
      <c r="N87" s="161"/>
      <c r="O87" s="480">
        <f t="shared" ref="O87:O92" si="31">SUM(G87:N87)</f>
        <v>0</v>
      </c>
    </row>
    <row r="88" spans="1:15" s="114" customFormat="1" ht="31.5" x14ac:dyDescent="0.25">
      <c r="A88" s="163" t="s">
        <v>473</v>
      </c>
      <c r="B88" s="79" t="s">
        <v>76</v>
      </c>
      <c r="C88" s="79" t="s">
        <v>598</v>
      </c>
      <c r="D88" s="79" t="s">
        <v>137</v>
      </c>
      <c r="E88" s="79" t="s">
        <v>309</v>
      </c>
      <c r="F88" s="381"/>
      <c r="G88" s="528">
        <f>G90+G91+G92</f>
        <v>648.30000000000007</v>
      </c>
      <c r="H88" s="528">
        <f t="shared" ref="H88:N88" si="32">H90+H91+H92</f>
        <v>4289.2849999999999</v>
      </c>
      <c r="I88" s="231">
        <f t="shared" si="32"/>
        <v>0</v>
      </c>
      <c r="J88" s="528">
        <f>J90+J91+J92</f>
        <v>-4289.2849999999999</v>
      </c>
      <c r="K88" s="234">
        <f t="shared" si="32"/>
        <v>0</v>
      </c>
      <c r="L88" s="645">
        <f t="shared" si="32"/>
        <v>0</v>
      </c>
      <c r="M88" s="231">
        <f t="shared" si="32"/>
        <v>0</v>
      </c>
      <c r="N88" s="231">
        <f t="shared" si="32"/>
        <v>0</v>
      </c>
      <c r="O88" s="480">
        <f>SUM(G88:N88)</f>
        <v>648.30000000000018</v>
      </c>
    </row>
    <row r="89" spans="1:15" ht="34.5" hidden="1" customHeight="1" outlineLevel="1" x14ac:dyDescent="0.3">
      <c r="A89" s="39" t="s">
        <v>731</v>
      </c>
      <c r="B89" s="38"/>
      <c r="C89" s="38"/>
      <c r="D89" s="38"/>
      <c r="E89" s="38"/>
      <c r="F89" s="38"/>
      <c r="G89" s="474"/>
      <c r="H89" s="475"/>
      <c r="I89" s="165"/>
      <c r="J89" s="475"/>
      <c r="K89" s="442"/>
      <c r="L89" s="166"/>
      <c r="M89" s="165">
        <f>M91+M92+M90</f>
        <v>0</v>
      </c>
      <c r="N89" s="166">
        <f>N91+N92+N90</f>
        <v>0</v>
      </c>
      <c r="O89" s="593">
        <f>SUM(G89:N89)</f>
        <v>0</v>
      </c>
    </row>
    <row r="90" spans="1:15" ht="45.75" hidden="1" customHeight="1" outlineLevel="1" x14ac:dyDescent="0.3">
      <c r="A90" s="39" t="s">
        <v>732</v>
      </c>
      <c r="B90" s="38"/>
      <c r="C90" s="38"/>
      <c r="D90" s="38"/>
      <c r="E90" s="38"/>
      <c r="F90" s="38"/>
      <c r="G90" s="476"/>
      <c r="H90" s="475">
        <v>4289.2849999999999</v>
      </c>
      <c r="I90" s="165"/>
      <c r="J90" s="477">
        <v>-4289.2849999999999</v>
      </c>
      <c r="K90" s="442"/>
      <c r="L90" s="166"/>
      <c r="M90" s="165"/>
      <c r="N90" s="166"/>
      <c r="O90" s="593">
        <f>SUM(G90:N90)</f>
        <v>0</v>
      </c>
    </row>
    <row r="91" spans="1:15" s="114" customFormat="1" ht="43.5" hidden="1" customHeight="1" outlineLevel="1" collapsed="1" x14ac:dyDescent="0.3">
      <c r="A91" s="39" t="s">
        <v>671</v>
      </c>
      <c r="B91" s="38"/>
      <c r="C91" s="38"/>
      <c r="D91" s="38"/>
      <c r="E91" s="38"/>
      <c r="F91" s="38"/>
      <c r="G91" s="474">
        <v>630.20000000000005</v>
      </c>
      <c r="H91" s="475"/>
      <c r="I91" s="165"/>
      <c r="J91" s="477"/>
      <c r="K91" s="442"/>
      <c r="L91" s="166"/>
      <c r="M91" s="165"/>
      <c r="N91" s="166"/>
      <c r="O91" s="593">
        <f>SUM(G91:N91)</f>
        <v>630.20000000000005</v>
      </c>
    </row>
    <row r="92" spans="1:15" ht="44.25" hidden="1" customHeight="1" outlineLevel="1" x14ac:dyDescent="0.3">
      <c r="A92" s="39" t="s">
        <v>475</v>
      </c>
      <c r="B92" s="38"/>
      <c r="C92" s="38"/>
      <c r="D92" s="38"/>
      <c r="E92" s="38"/>
      <c r="F92" s="38"/>
      <c r="G92" s="474">
        <v>18.100000000000001</v>
      </c>
      <c r="H92" s="475"/>
      <c r="I92" s="165"/>
      <c r="J92" s="477"/>
      <c r="K92" s="442"/>
      <c r="L92" s="166"/>
      <c r="M92" s="165"/>
      <c r="N92" s="166"/>
      <c r="O92" s="593">
        <f t="shared" si="31"/>
        <v>18.100000000000001</v>
      </c>
    </row>
    <row r="93" spans="1:15" ht="34.5" customHeight="1" collapsed="1" x14ac:dyDescent="0.25">
      <c r="A93" s="28" t="s">
        <v>1198</v>
      </c>
      <c r="B93" s="75" t="s">
        <v>76</v>
      </c>
      <c r="C93" s="75" t="s">
        <v>1199</v>
      </c>
      <c r="D93" s="75" t="s">
        <v>137</v>
      </c>
      <c r="E93" s="75" t="s">
        <v>309</v>
      </c>
      <c r="F93" s="465"/>
      <c r="G93" s="532"/>
      <c r="H93" s="532"/>
      <c r="I93" s="165"/>
      <c r="J93" s="531">
        <f>J94</f>
        <v>4883.4024100000006</v>
      </c>
      <c r="K93" s="630">
        <f>K94</f>
        <v>300</v>
      </c>
      <c r="L93" s="166"/>
      <c r="M93" s="165"/>
      <c r="N93" s="166"/>
      <c r="O93" s="592">
        <f>G93+J93+K93</f>
        <v>5183.4024100000006</v>
      </c>
    </row>
    <row r="94" spans="1:15" ht="26.25" customHeight="1" x14ac:dyDescent="0.25">
      <c r="A94" s="39" t="s">
        <v>1198</v>
      </c>
      <c r="B94" s="458" t="s">
        <v>76</v>
      </c>
      <c r="C94" s="458" t="s">
        <v>1199</v>
      </c>
      <c r="D94" s="458" t="s">
        <v>137</v>
      </c>
      <c r="E94" s="458" t="s">
        <v>309</v>
      </c>
      <c r="F94" s="38"/>
      <c r="G94" s="533"/>
      <c r="H94" s="533"/>
      <c r="I94" s="165"/>
      <c r="J94" s="533">
        <f>4289.285+590.118+3.99941</f>
        <v>4883.4024100000006</v>
      </c>
      <c r="K94" s="442">
        <v>300</v>
      </c>
      <c r="L94" s="166"/>
      <c r="M94" s="165"/>
      <c r="N94" s="166"/>
      <c r="O94" s="593">
        <f>G94+J94+K94</f>
        <v>5183.4024100000006</v>
      </c>
    </row>
    <row r="95" spans="1:15" ht="31.5" x14ac:dyDescent="0.25">
      <c r="A95" s="83" t="s">
        <v>224</v>
      </c>
      <c r="B95" s="75" t="s">
        <v>9</v>
      </c>
      <c r="C95" s="75" t="s">
        <v>597</v>
      </c>
      <c r="D95" s="75" t="s">
        <v>137</v>
      </c>
      <c r="E95" s="75" t="s">
        <v>9</v>
      </c>
      <c r="F95" s="27"/>
      <c r="G95" s="527">
        <f>G96+G100</f>
        <v>800</v>
      </c>
      <c r="H95" s="527">
        <f t="shared" ref="H95:O95" si="33">H96+H100</f>
        <v>0</v>
      </c>
      <c r="I95" s="230">
        <f t="shared" si="33"/>
        <v>0</v>
      </c>
      <c r="J95" s="527">
        <f t="shared" si="33"/>
        <v>0</v>
      </c>
      <c r="K95" s="233">
        <f t="shared" si="33"/>
        <v>1000</v>
      </c>
      <c r="L95" s="644">
        <f>L96+L100</f>
        <v>850</v>
      </c>
      <c r="M95" s="230">
        <f t="shared" si="33"/>
        <v>0</v>
      </c>
      <c r="N95" s="230">
        <f t="shared" si="33"/>
        <v>0</v>
      </c>
      <c r="O95" s="592">
        <f t="shared" si="33"/>
        <v>2650</v>
      </c>
    </row>
    <row r="96" spans="1:15" ht="78.75" x14ac:dyDescent="0.25">
      <c r="A96" s="162" t="s">
        <v>476</v>
      </c>
      <c r="B96" s="75" t="s">
        <v>9</v>
      </c>
      <c r="C96" s="75" t="s">
        <v>596</v>
      </c>
      <c r="D96" s="75" t="s">
        <v>137</v>
      </c>
      <c r="E96" s="75" t="s">
        <v>9</v>
      </c>
      <c r="F96" s="27"/>
      <c r="G96" s="527">
        <f t="shared" ref="G96:O97" si="34">G97</f>
        <v>300</v>
      </c>
      <c r="H96" s="527">
        <f t="shared" si="34"/>
        <v>0</v>
      </c>
      <c r="I96" s="230">
        <f t="shared" si="34"/>
        <v>0</v>
      </c>
      <c r="J96" s="527">
        <f t="shared" si="34"/>
        <v>0</v>
      </c>
      <c r="K96" s="233">
        <f t="shared" si="34"/>
        <v>0</v>
      </c>
      <c r="L96" s="644">
        <f t="shared" si="34"/>
        <v>360</v>
      </c>
      <c r="M96" s="230">
        <f t="shared" si="34"/>
        <v>0</v>
      </c>
      <c r="N96" s="230">
        <f t="shared" si="34"/>
        <v>0</v>
      </c>
      <c r="O96" s="592">
        <f t="shared" si="34"/>
        <v>660</v>
      </c>
    </row>
    <row r="97" spans="1:15" s="114" customFormat="1" ht="78.75" x14ac:dyDescent="0.25">
      <c r="A97" s="163" t="s">
        <v>477</v>
      </c>
      <c r="B97" s="79" t="s">
        <v>9</v>
      </c>
      <c r="C97" s="79" t="s">
        <v>818</v>
      </c>
      <c r="D97" s="79" t="s">
        <v>137</v>
      </c>
      <c r="E97" s="79" t="s">
        <v>317</v>
      </c>
      <c r="F97" s="381"/>
      <c r="G97" s="528">
        <v>300</v>
      </c>
      <c r="H97" s="529">
        <f>H98+H99</f>
        <v>0</v>
      </c>
      <c r="I97" s="155"/>
      <c r="J97" s="529">
        <f t="shared" si="34"/>
        <v>0</v>
      </c>
      <c r="K97" s="629">
        <f t="shared" si="34"/>
        <v>0</v>
      </c>
      <c r="L97" s="156">
        <v>360</v>
      </c>
      <c r="M97" s="155"/>
      <c r="N97" s="156"/>
      <c r="O97" s="480">
        <f>SUM(G97:N97)</f>
        <v>660</v>
      </c>
    </row>
    <row r="98" spans="1:15" s="114" customFormat="1" ht="54.75" hidden="1" customHeight="1" x14ac:dyDescent="0.3">
      <c r="A98" s="39" t="s">
        <v>218</v>
      </c>
      <c r="B98" s="38" t="s">
        <v>70</v>
      </c>
      <c r="C98" s="38" t="s">
        <v>643</v>
      </c>
      <c r="D98" s="38" t="s">
        <v>137</v>
      </c>
      <c r="E98" s="38" t="s">
        <v>317</v>
      </c>
      <c r="F98" s="381"/>
      <c r="G98" s="353">
        <v>300</v>
      </c>
      <c r="H98" s="165">
        <v>-300</v>
      </c>
      <c r="I98" s="165"/>
      <c r="J98" s="165"/>
      <c r="K98" s="165"/>
      <c r="L98" s="21"/>
      <c r="M98" s="165"/>
      <c r="N98" s="166"/>
      <c r="O98" s="205">
        <f>SUM(G98:N98)</f>
        <v>0</v>
      </c>
    </row>
    <row r="99" spans="1:15" s="114" customFormat="1" ht="54.75" hidden="1" customHeight="1" x14ac:dyDescent="0.3">
      <c r="A99" s="39" t="s">
        <v>218</v>
      </c>
      <c r="B99" s="38" t="s">
        <v>76</v>
      </c>
      <c r="C99" s="38" t="s">
        <v>643</v>
      </c>
      <c r="D99" s="38" t="s">
        <v>137</v>
      </c>
      <c r="E99" s="38" t="s">
        <v>317</v>
      </c>
      <c r="F99" s="381"/>
      <c r="G99" s="353"/>
      <c r="H99" s="165">
        <v>300</v>
      </c>
      <c r="I99" s="165"/>
      <c r="J99" s="165"/>
      <c r="K99" s="165"/>
      <c r="L99" s="21"/>
      <c r="M99" s="165"/>
      <c r="N99" s="166"/>
      <c r="O99" s="205">
        <f>SUM(G99:N99)</f>
        <v>300</v>
      </c>
    </row>
    <row r="100" spans="1:15" ht="31.5" x14ac:dyDescent="0.25">
      <c r="A100" s="162" t="s">
        <v>478</v>
      </c>
      <c r="B100" s="75" t="s">
        <v>9</v>
      </c>
      <c r="C100" s="75" t="s">
        <v>595</v>
      </c>
      <c r="D100" s="75" t="s">
        <v>137</v>
      </c>
      <c r="E100" s="75" t="s">
        <v>320</v>
      </c>
      <c r="F100" s="27"/>
      <c r="G100" s="527">
        <f t="shared" ref="G100:O100" si="35">G101+G107</f>
        <v>500</v>
      </c>
      <c r="H100" s="527">
        <f t="shared" si="35"/>
        <v>0</v>
      </c>
      <c r="I100" s="230">
        <f t="shared" si="35"/>
        <v>0</v>
      </c>
      <c r="J100" s="527">
        <f t="shared" si="35"/>
        <v>0</v>
      </c>
      <c r="K100" s="233">
        <f t="shared" si="35"/>
        <v>1000</v>
      </c>
      <c r="L100" s="644">
        <f>L101+L107</f>
        <v>490</v>
      </c>
      <c r="M100" s="230">
        <f t="shared" si="35"/>
        <v>0</v>
      </c>
      <c r="N100" s="230">
        <f t="shared" si="35"/>
        <v>0</v>
      </c>
      <c r="O100" s="592">
        <f t="shared" si="35"/>
        <v>1990</v>
      </c>
    </row>
    <row r="101" spans="1:15" s="114" customFormat="1" ht="31.5" x14ac:dyDescent="0.25">
      <c r="A101" s="163" t="s">
        <v>321</v>
      </c>
      <c r="B101" s="79" t="s">
        <v>9</v>
      </c>
      <c r="C101" s="79" t="s">
        <v>594</v>
      </c>
      <c r="D101" s="79" t="s">
        <v>137</v>
      </c>
      <c r="E101" s="79" t="s">
        <v>320</v>
      </c>
      <c r="F101" s="381"/>
      <c r="G101" s="528">
        <f>G102+G104</f>
        <v>450</v>
      </c>
      <c r="H101" s="528">
        <f>H102+H104+H103+H105+H106</f>
        <v>0</v>
      </c>
      <c r="I101" s="528">
        <f t="shared" ref="I101" si="36">I102+I104+I103+I105+I106</f>
        <v>0</v>
      </c>
      <c r="J101" s="528">
        <f>J102+J104+J103+J105+J106</f>
        <v>0</v>
      </c>
      <c r="K101" s="530">
        <f>K102+K104+K103+K105+K106</f>
        <v>1000</v>
      </c>
      <c r="L101" s="645">
        <f>L102+L104+L103+L105</f>
        <v>490</v>
      </c>
      <c r="M101" s="231">
        <f t="shared" ref="M101:N101" si="37">M102+M104</f>
        <v>0</v>
      </c>
      <c r="N101" s="231">
        <f t="shared" si="37"/>
        <v>0</v>
      </c>
      <c r="O101" s="480">
        <f>O102+O104+O103+O105+O106</f>
        <v>1940</v>
      </c>
    </row>
    <row r="102" spans="1:15" ht="40.5" hidden="1" customHeight="1" outlineLevel="2" x14ac:dyDescent="0.3">
      <c r="A102" s="39" t="s">
        <v>905</v>
      </c>
      <c r="B102" s="38" t="s">
        <v>70</v>
      </c>
      <c r="C102" s="38" t="s">
        <v>665</v>
      </c>
      <c r="D102" s="38" t="s">
        <v>137</v>
      </c>
      <c r="E102" s="38" t="s">
        <v>320</v>
      </c>
      <c r="F102" s="38"/>
      <c r="G102" s="353">
        <v>375</v>
      </c>
      <c r="H102" s="165">
        <v>-375</v>
      </c>
      <c r="I102" s="165"/>
      <c r="J102" s="165"/>
      <c r="K102" s="442"/>
      <c r="L102" s="166"/>
      <c r="M102" s="165"/>
      <c r="N102" s="166"/>
      <c r="O102" s="370">
        <f>SUM(G102:N102)</f>
        <v>0</v>
      </c>
    </row>
    <row r="103" spans="1:15" ht="40.5" hidden="1" customHeight="1" outlineLevel="2" x14ac:dyDescent="0.3">
      <c r="A103" s="39" t="s">
        <v>905</v>
      </c>
      <c r="B103" s="38" t="s">
        <v>76</v>
      </c>
      <c r="C103" s="38" t="s">
        <v>665</v>
      </c>
      <c r="D103" s="38" t="s">
        <v>137</v>
      </c>
      <c r="E103" s="38" t="s">
        <v>320</v>
      </c>
      <c r="F103" s="38"/>
      <c r="G103" s="353"/>
      <c r="H103" s="165">
        <v>375</v>
      </c>
      <c r="I103" s="165"/>
      <c r="J103" s="165"/>
      <c r="K103" s="442">
        <v>1000</v>
      </c>
      <c r="L103" s="166">
        <v>310</v>
      </c>
      <c r="M103" s="165"/>
      <c r="N103" s="166"/>
      <c r="O103" s="370">
        <f>SUM(G103:N103)</f>
        <v>1685</v>
      </c>
    </row>
    <row r="104" spans="1:15" s="114" customFormat="1" ht="51" hidden="1" customHeight="1" outlineLevel="2" x14ac:dyDescent="0.3">
      <c r="A104" s="39" t="s">
        <v>906</v>
      </c>
      <c r="B104" s="38" t="s">
        <v>70</v>
      </c>
      <c r="C104" s="38" t="s">
        <v>644</v>
      </c>
      <c r="D104" s="38" t="s">
        <v>137</v>
      </c>
      <c r="E104" s="38" t="s">
        <v>320</v>
      </c>
      <c r="F104" s="38"/>
      <c r="G104" s="353">
        <v>75</v>
      </c>
      <c r="H104" s="165">
        <v>-75</v>
      </c>
      <c r="I104" s="165"/>
      <c r="J104" s="165"/>
      <c r="K104" s="442"/>
      <c r="L104" s="166"/>
      <c r="M104" s="165"/>
      <c r="N104" s="166"/>
      <c r="O104" s="370">
        <f>SUM(G104:N104)</f>
        <v>0</v>
      </c>
    </row>
    <row r="105" spans="1:15" s="114" customFormat="1" ht="51" hidden="1" customHeight="1" outlineLevel="2" x14ac:dyDescent="0.3">
      <c r="A105" s="39" t="s">
        <v>906</v>
      </c>
      <c r="B105" s="38" t="s">
        <v>1158</v>
      </c>
      <c r="C105" s="38" t="s">
        <v>644</v>
      </c>
      <c r="D105" s="38" t="s">
        <v>137</v>
      </c>
      <c r="E105" s="38" t="s">
        <v>320</v>
      </c>
      <c r="F105" s="38"/>
      <c r="G105" s="353"/>
      <c r="H105" s="165">
        <v>25</v>
      </c>
      <c r="I105" s="165"/>
      <c r="J105" s="165"/>
      <c r="K105" s="442"/>
      <c r="L105" s="166">
        <v>180</v>
      </c>
      <c r="M105" s="165"/>
      <c r="N105" s="166"/>
      <c r="O105" s="370">
        <f t="shared" ref="O105:O106" si="38">SUM(G105:N105)</f>
        <v>205</v>
      </c>
    </row>
    <row r="106" spans="1:15" s="114" customFormat="1" ht="51" hidden="1" customHeight="1" outlineLevel="2" x14ac:dyDescent="0.3">
      <c r="A106" s="39" t="s">
        <v>906</v>
      </c>
      <c r="B106" s="38" t="s">
        <v>1157</v>
      </c>
      <c r="C106" s="38" t="s">
        <v>644</v>
      </c>
      <c r="D106" s="38" t="s">
        <v>137</v>
      </c>
      <c r="E106" s="38" t="s">
        <v>320</v>
      </c>
      <c r="F106" s="38"/>
      <c r="G106" s="353"/>
      <c r="H106" s="165">
        <v>50</v>
      </c>
      <c r="I106" s="165"/>
      <c r="J106" s="165"/>
      <c r="K106" s="442"/>
      <c r="L106" s="166"/>
      <c r="M106" s="165"/>
      <c r="N106" s="166"/>
      <c r="O106" s="370">
        <f t="shared" si="38"/>
        <v>50</v>
      </c>
    </row>
    <row r="107" spans="1:15" s="114" customFormat="1" ht="48" customHeight="1" collapsed="1" x14ac:dyDescent="0.25">
      <c r="A107" s="29" t="s">
        <v>909</v>
      </c>
      <c r="B107" s="381" t="s">
        <v>9</v>
      </c>
      <c r="C107" s="381" t="s">
        <v>907</v>
      </c>
      <c r="D107" s="381" t="s">
        <v>137</v>
      </c>
      <c r="E107" s="381" t="s">
        <v>320</v>
      </c>
      <c r="F107" s="381"/>
      <c r="G107" s="528">
        <f>G108</f>
        <v>50</v>
      </c>
      <c r="H107" s="528">
        <f>H108+H109</f>
        <v>0</v>
      </c>
      <c r="I107" s="231">
        <f t="shared" ref="I107:N107" si="39">I108</f>
        <v>0</v>
      </c>
      <c r="J107" s="528">
        <f t="shared" si="39"/>
        <v>0</v>
      </c>
      <c r="K107" s="234">
        <f t="shared" si="39"/>
        <v>0</v>
      </c>
      <c r="L107" s="645">
        <f t="shared" si="39"/>
        <v>0</v>
      </c>
      <c r="M107" s="231">
        <f t="shared" si="39"/>
        <v>0</v>
      </c>
      <c r="N107" s="231">
        <f t="shared" si="39"/>
        <v>0</v>
      </c>
      <c r="O107" s="480">
        <f>O108+O109</f>
        <v>50</v>
      </c>
    </row>
    <row r="108" spans="1:15" s="114" customFormat="1" ht="33" hidden="1" customHeight="1" x14ac:dyDescent="0.3">
      <c r="A108" s="39" t="s">
        <v>219</v>
      </c>
      <c r="B108" s="38" t="s">
        <v>70</v>
      </c>
      <c r="C108" s="38" t="s">
        <v>908</v>
      </c>
      <c r="D108" s="38" t="s">
        <v>137</v>
      </c>
      <c r="E108" s="38" t="s">
        <v>320</v>
      </c>
      <c r="F108" s="38"/>
      <c r="G108" s="232">
        <v>50</v>
      </c>
      <c r="H108" s="165">
        <v>-50</v>
      </c>
      <c r="I108" s="165"/>
      <c r="J108" s="165"/>
      <c r="K108" s="165"/>
      <c r="L108" s="21"/>
      <c r="M108" s="165"/>
      <c r="N108" s="166"/>
      <c r="O108" s="236">
        <f>SUM(G108:N108)</f>
        <v>0</v>
      </c>
    </row>
    <row r="109" spans="1:15" s="114" customFormat="1" ht="33" hidden="1" customHeight="1" x14ac:dyDescent="0.3">
      <c r="A109" s="39" t="s">
        <v>219</v>
      </c>
      <c r="B109" s="38" t="s">
        <v>76</v>
      </c>
      <c r="C109" s="38" t="s">
        <v>908</v>
      </c>
      <c r="D109" s="38" t="s">
        <v>137</v>
      </c>
      <c r="E109" s="38" t="s">
        <v>320</v>
      </c>
      <c r="F109" s="38"/>
      <c r="G109" s="232"/>
      <c r="H109" s="165">
        <v>50</v>
      </c>
      <c r="I109" s="165"/>
      <c r="J109" s="165"/>
      <c r="K109" s="165"/>
      <c r="L109" s="21"/>
      <c r="M109" s="165"/>
      <c r="N109" s="166"/>
      <c r="O109" s="236">
        <f>SUM(G109:N109)</f>
        <v>50</v>
      </c>
    </row>
    <row r="110" spans="1:15" s="114" customFormat="1" x14ac:dyDescent="0.25">
      <c r="A110" s="83" t="s">
        <v>225</v>
      </c>
      <c r="B110" s="75" t="s">
        <v>9</v>
      </c>
      <c r="C110" s="75" t="s">
        <v>593</v>
      </c>
      <c r="D110" s="75" t="s">
        <v>137</v>
      </c>
      <c r="E110" s="75" t="s">
        <v>9</v>
      </c>
      <c r="F110" s="27"/>
      <c r="G110" s="527">
        <f>G116+G118</f>
        <v>140</v>
      </c>
      <c r="H110" s="527">
        <f>H116+H118</f>
        <v>0</v>
      </c>
      <c r="I110" s="230">
        <f>I116+I118</f>
        <v>0</v>
      </c>
      <c r="J110" s="527">
        <f>J116+J118</f>
        <v>0</v>
      </c>
      <c r="K110" s="233">
        <f>K116+K118</f>
        <v>0</v>
      </c>
      <c r="L110" s="644">
        <f>L116+L118+L111+L120</f>
        <v>500.00299999999999</v>
      </c>
      <c r="M110" s="230">
        <f>M116+M118</f>
        <v>0</v>
      </c>
      <c r="N110" s="230">
        <f>N116+N118</f>
        <v>0</v>
      </c>
      <c r="O110" s="592">
        <f>O116+O118+O120+O111</f>
        <v>640.00299999999993</v>
      </c>
    </row>
    <row r="111" spans="1:15" s="114" customFormat="1" ht="36.75" customHeight="1" x14ac:dyDescent="0.25">
      <c r="A111" s="83" t="s">
        <v>1260</v>
      </c>
      <c r="B111" s="75" t="s">
        <v>9</v>
      </c>
      <c r="C111" s="75" t="s">
        <v>1252</v>
      </c>
      <c r="D111" s="75" t="s">
        <v>137</v>
      </c>
      <c r="E111" s="75" t="s">
        <v>326</v>
      </c>
      <c r="F111" s="27"/>
      <c r="G111" s="527"/>
      <c r="H111" s="527"/>
      <c r="I111" s="230"/>
      <c r="J111" s="527"/>
      <c r="K111" s="233"/>
      <c r="L111" s="644">
        <f>L112+L113+L114+L115</f>
        <v>62</v>
      </c>
      <c r="M111" s="230"/>
      <c r="N111" s="230"/>
      <c r="O111" s="592">
        <f>O112+O113+O114+O115</f>
        <v>62</v>
      </c>
    </row>
    <row r="112" spans="1:15" s="114" customFormat="1" ht="94.5" x14ac:dyDescent="0.25">
      <c r="A112" s="100" t="s">
        <v>1253</v>
      </c>
      <c r="B112" s="640" t="s">
        <v>1257</v>
      </c>
      <c r="C112" s="640" t="s">
        <v>1254</v>
      </c>
      <c r="D112" s="640" t="s">
        <v>137</v>
      </c>
      <c r="E112" s="640" t="s">
        <v>326</v>
      </c>
      <c r="F112" s="27"/>
      <c r="G112" s="527"/>
      <c r="H112" s="527"/>
      <c r="I112" s="230"/>
      <c r="J112" s="527"/>
      <c r="K112" s="233"/>
      <c r="L112" s="645">
        <v>15</v>
      </c>
      <c r="M112" s="230"/>
      <c r="N112" s="230"/>
      <c r="O112" s="480">
        <f>SUM(G112:N112)</f>
        <v>15</v>
      </c>
    </row>
    <row r="113" spans="1:15" s="114" customFormat="1" ht="94.5" x14ac:dyDescent="0.25">
      <c r="A113" s="100" t="s">
        <v>1255</v>
      </c>
      <c r="B113" s="640" t="s">
        <v>1256</v>
      </c>
      <c r="C113" s="640" t="s">
        <v>1254</v>
      </c>
      <c r="D113" s="640" t="s">
        <v>137</v>
      </c>
      <c r="E113" s="640" t="s">
        <v>326</v>
      </c>
      <c r="F113" s="27"/>
      <c r="G113" s="527"/>
      <c r="H113" s="527"/>
      <c r="I113" s="230"/>
      <c r="J113" s="527"/>
      <c r="K113" s="233"/>
      <c r="L113" s="645">
        <v>5</v>
      </c>
      <c r="M113" s="230"/>
      <c r="N113" s="230"/>
      <c r="O113" s="480">
        <f>SUM(G113:N113)</f>
        <v>5</v>
      </c>
    </row>
    <row r="114" spans="1:15" s="114" customFormat="1" ht="94.5" x14ac:dyDescent="0.25">
      <c r="A114" s="100" t="s">
        <v>1258</v>
      </c>
      <c r="B114" s="640" t="s">
        <v>1257</v>
      </c>
      <c r="C114" s="640" t="s">
        <v>1259</v>
      </c>
      <c r="D114" s="640" t="s">
        <v>137</v>
      </c>
      <c r="E114" s="640" t="s">
        <v>326</v>
      </c>
      <c r="F114" s="27"/>
      <c r="G114" s="527"/>
      <c r="H114" s="527"/>
      <c r="I114" s="230"/>
      <c r="J114" s="527"/>
      <c r="K114" s="233"/>
      <c r="L114" s="645">
        <v>23</v>
      </c>
      <c r="M114" s="230"/>
      <c r="N114" s="230"/>
      <c r="O114" s="480">
        <f t="shared" ref="O114:O115" si="40">SUM(G114:N114)</f>
        <v>23</v>
      </c>
    </row>
    <row r="115" spans="1:15" s="114" customFormat="1" ht="94.5" x14ac:dyDescent="0.25">
      <c r="A115" s="100" t="s">
        <v>1258</v>
      </c>
      <c r="B115" s="640" t="s">
        <v>1256</v>
      </c>
      <c r="C115" s="640" t="s">
        <v>1259</v>
      </c>
      <c r="D115" s="640" t="s">
        <v>137</v>
      </c>
      <c r="E115" s="640" t="s">
        <v>326</v>
      </c>
      <c r="F115" s="27"/>
      <c r="G115" s="527"/>
      <c r="H115" s="527"/>
      <c r="I115" s="230"/>
      <c r="J115" s="527"/>
      <c r="K115" s="233"/>
      <c r="L115" s="645">
        <v>19</v>
      </c>
      <c r="M115" s="230"/>
      <c r="N115" s="230"/>
      <c r="O115" s="480">
        <f t="shared" si="40"/>
        <v>19</v>
      </c>
    </row>
    <row r="116" spans="1:15" s="114" customFormat="1" ht="85.5" customHeight="1" x14ac:dyDescent="0.25">
      <c r="A116" s="83" t="s">
        <v>819</v>
      </c>
      <c r="B116" s="75" t="s">
        <v>76</v>
      </c>
      <c r="C116" s="75" t="s">
        <v>733</v>
      </c>
      <c r="D116" s="75" t="s">
        <v>137</v>
      </c>
      <c r="E116" s="75" t="s">
        <v>326</v>
      </c>
      <c r="F116" s="381"/>
      <c r="G116" s="527">
        <f>G117</f>
        <v>140</v>
      </c>
      <c r="H116" s="527">
        <f t="shared" ref="H116:O116" si="41">H117</f>
        <v>0</v>
      </c>
      <c r="I116" s="230">
        <f t="shared" si="41"/>
        <v>0</v>
      </c>
      <c r="J116" s="527">
        <f t="shared" si="41"/>
        <v>0</v>
      </c>
      <c r="K116" s="233">
        <f t="shared" si="41"/>
        <v>0</v>
      </c>
      <c r="L116" s="644">
        <f t="shared" si="41"/>
        <v>38.003</v>
      </c>
      <c r="M116" s="230">
        <f t="shared" si="41"/>
        <v>0</v>
      </c>
      <c r="N116" s="230">
        <f t="shared" si="41"/>
        <v>0</v>
      </c>
      <c r="O116" s="592">
        <f t="shared" si="41"/>
        <v>178.00299999999999</v>
      </c>
    </row>
    <row r="117" spans="1:15" s="114" customFormat="1" ht="61.5" customHeight="1" x14ac:dyDescent="0.25">
      <c r="A117" s="100" t="s">
        <v>819</v>
      </c>
      <c r="B117" s="79" t="s">
        <v>76</v>
      </c>
      <c r="C117" s="79" t="s">
        <v>820</v>
      </c>
      <c r="D117" s="79" t="s">
        <v>137</v>
      </c>
      <c r="E117" s="79" t="s">
        <v>326</v>
      </c>
      <c r="F117" s="381"/>
      <c r="G117" s="528">
        <v>140</v>
      </c>
      <c r="H117" s="529"/>
      <c r="I117" s="155"/>
      <c r="J117" s="529"/>
      <c r="K117" s="629"/>
      <c r="L117" s="156">
        <v>38.003</v>
      </c>
      <c r="M117" s="155"/>
      <c r="N117" s="156"/>
      <c r="O117" s="480">
        <f>SUM(G117:N117)</f>
        <v>178.00299999999999</v>
      </c>
    </row>
    <row r="118" spans="1:15" s="114" customFormat="1" ht="43.5" hidden="1" customHeight="1" x14ac:dyDescent="0.3">
      <c r="A118" s="83" t="s">
        <v>912</v>
      </c>
      <c r="B118" s="75" t="s">
        <v>238</v>
      </c>
      <c r="C118" s="75" t="s">
        <v>910</v>
      </c>
      <c r="D118" s="75" t="s">
        <v>137</v>
      </c>
      <c r="E118" s="75" t="s">
        <v>326</v>
      </c>
      <c r="F118" s="27"/>
      <c r="G118" s="230">
        <f>G119</f>
        <v>0</v>
      </c>
      <c r="H118" s="230">
        <f t="shared" ref="H118:O118" si="42">H119</f>
        <v>0</v>
      </c>
      <c r="I118" s="230">
        <f t="shared" si="42"/>
        <v>0</v>
      </c>
      <c r="J118" s="230">
        <f t="shared" si="42"/>
        <v>0</v>
      </c>
      <c r="K118" s="230">
        <f t="shared" si="42"/>
        <v>0</v>
      </c>
      <c r="L118" s="230">
        <f t="shared" si="42"/>
        <v>0</v>
      </c>
      <c r="M118" s="230">
        <f t="shared" si="42"/>
        <v>0</v>
      </c>
      <c r="N118" s="230">
        <f t="shared" si="42"/>
        <v>0</v>
      </c>
      <c r="O118" s="276">
        <f t="shared" si="42"/>
        <v>0</v>
      </c>
    </row>
    <row r="119" spans="1:15" s="114" customFormat="1" ht="63" hidden="1" customHeight="1" x14ac:dyDescent="0.3">
      <c r="A119" s="100" t="s">
        <v>913</v>
      </c>
      <c r="B119" s="79" t="s">
        <v>238</v>
      </c>
      <c r="C119" s="79" t="s">
        <v>911</v>
      </c>
      <c r="D119" s="79" t="s">
        <v>137</v>
      </c>
      <c r="E119" s="79" t="s">
        <v>326</v>
      </c>
      <c r="F119" s="381"/>
      <c r="G119" s="231"/>
      <c r="H119" s="155"/>
      <c r="I119" s="155"/>
      <c r="J119" s="155"/>
      <c r="K119" s="155"/>
      <c r="L119" s="12"/>
      <c r="M119" s="155"/>
      <c r="N119" s="156"/>
      <c r="O119" s="278">
        <f>SUM(G119:N119)</f>
        <v>0</v>
      </c>
    </row>
    <row r="120" spans="1:15" s="114" customFormat="1" ht="77.25" customHeight="1" x14ac:dyDescent="0.25">
      <c r="A120" s="83" t="s">
        <v>1263</v>
      </c>
      <c r="B120" s="75" t="s">
        <v>1250</v>
      </c>
      <c r="C120" s="75" t="s">
        <v>1261</v>
      </c>
      <c r="D120" s="75" t="s">
        <v>137</v>
      </c>
      <c r="E120" s="75" t="s">
        <v>326</v>
      </c>
      <c r="F120" s="641"/>
      <c r="G120" s="231"/>
      <c r="H120" s="155"/>
      <c r="I120" s="155"/>
      <c r="J120" s="155"/>
      <c r="K120" s="155"/>
      <c r="L120" s="646">
        <f>L121</f>
        <v>400</v>
      </c>
      <c r="M120" s="155"/>
      <c r="N120" s="156"/>
      <c r="O120" s="426">
        <f>O121</f>
        <v>400</v>
      </c>
    </row>
    <row r="121" spans="1:15" s="114" customFormat="1" ht="83.25" customHeight="1" x14ac:dyDescent="0.25">
      <c r="A121" s="100" t="s">
        <v>1249</v>
      </c>
      <c r="B121" s="640" t="s">
        <v>1250</v>
      </c>
      <c r="C121" s="640" t="s">
        <v>1251</v>
      </c>
      <c r="D121" s="640" t="s">
        <v>137</v>
      </c>
      <c r="E121" s="640" t="s">
        <v>326</v>
      </c>
      <c r="F121" s="641"/>
      <c r="G121" s="231"/>
      <c r="H121" s="155"/>
      <c r="I121" s="155"/>
      <c r="J121" s="155"/>
      <c r="K121" s="155"/>
      <c r="L121" s="156">
        <v>400</v>
      </c>
      <c r="M121" s="155"/>
      <c r="N121" s="156"/>
      <c r="O121" s="596">
        <f>SUM(G121:N121)</f>
        <v>400</v>
      </c>
    </row>
    <row r="122" spans="1:15" s="114" customFormat="1" ht="21.75" customHeight="1" x14ac:dyDescent="0.25">
      <c r="A122" s="215" t="s">
        <v>888</v>
      </c>
      <c r="B122" s="216" t="s">
        <v>9</v>
      </c>
      <c r="C122" s="216" t="s">
        <v>887</v>
      </c>
      <c r="D122" s="216" t="s">
        <v>335</v>
      </c>
      <c r="E122" s="216" t="s">
        <v>9</v>
      </c>
      <c r="F122" s="381"/>
      <c r="G122" s="534">
        <f>G123+G125</f>
        <v>37.799999999999997</v>
      </c>
      <c r="H122" s="534">
        <f t="shared" ref="H122:N122" si="43">H123+H125</f>
        <v>595.89</v>
      </c>
      <c r="I122" s="233">
        <f t="shared" si="43"/>
        <v>0</v>
      </c>
      <c r="J122" s="534">
        <f t="shared" si="43"/>
        <v>229.999</v>
      </c>
      <c r="K122" s="233">
        <f t="shared" si="43"/>
        <v>0</v>
      </c>
      <c r="L122" s="647">
        <f t="shared" si="43"/>
        <v>-181.75399999999999</v>
      </c>
      <c r="M122" s="233">
        <f t="shared" si="43"/>
        <v>0</v>
      </c>
      <c r="N122" s="233">
        <f t="shared" si="43"/>
        <v>0</v>
      </c>
      <c r="O122" s="594">
        <f>O123+O125</f>
        <v>681.93499999999995</v>
      </c>
    </row>
    <row r="123" spans="1:15" s="114" customFormat="1" ht="26.25" customHeight="1" x14ac:dyDescent="0.25">
      <c r="A123" s="215" t="s">
        <v>916</v>
      </c>
      <c r="B123" s="216" t="s">
        <v>9</v>
      </c>
      <c r="C123" s="216" t="s">
        <v>917</v>
      </c>
      <c r="D123" s="216" t="s">
        <v>137</v>
      </c>
      <c r="E123" s="216" t="s">
        <v>915</v>
      </c>
      <c r="F123" s="381"/>
      <c r="G123" s="534">
        <f>G124</f>
        <v>37.799999999999997</v>
      </c>
      <c r="H123" s="534">
        <f t="shared" ref="H123:O123" si="44">H124</f>
        <v>0</v>
      </c>
      <c r="I123" s="233">
        <f t="shared" si="44"/>
        <v>0</v>
      </c>
      <c r="J123" s="534">
        <f t="shared" si="44"/>
        <v>0</v>
      </c>
      <c r="K123" s="233">
        <f t="shared" si="44"/>
        <v>0</v>
      </c>
      <c r="L123" s="647">
        <f t="shared" si="44"/>
        <v>0</v>
      </c>
      <c r="M123" s="233">
        <f t="shared" si="44"/>
        <v>0</v>
      </c>
      <c r="N123" s="233">
        <f t="shared" si="44"/>
        <v>0</v>
      </c>
      <c r="O123" s="594">
        <f t="shared" si="44"/>
        <v>37.799999999999997</v>
      </c>
    </row>
    <row r="124" spans="1:15" s="114" customFormat="1" ht="27" customHeight="1" x14ac:dyDescent="0.25">
      <c r="A124" s="217" t="s">
        <v>214</v>
      </c>
      <c r="B124" s="218" t="s">
        <v>76</v>
      </c>
      <c r="C124" s="218" t="s">
        <v>1209</v>
      </c>
      <c r="D124" s="218" t="s">
        <v>137</v>
      </c>
      <c r="E124" s="218" t="s">
        <v>915</v>
      </c>
      <c r="F124" s="381"/>
      <c r="G124" s="530">
        <v>37.799999999999997</v>
      </c>
      <c r="H124" s="530"/>
      <c r="I124" s="234"/>
      <c r="J124" s="530"/>
      <c r="K124" s="234"/>
      <c r="L124" s="648"/>
      <c r="M124" s="234"/>
      <c r="N124" s="234"/>
      <c r="O124" s="595">
        <f>SUM(G124:N124)</f>
        <v>37.799999999999997</v>
      </c>
    </row>
    <row r="125" spans="1:15" s="114" customFormat="1" ht="25.5" customHeight="1" x14ac:dyDescent="0.25">
      <c r="A125" s="215" t="s">
        <v>886</v>
      </c>
      <c r="B125" s="216" t="s">
        <v>9</v>
      </c>
      <c r="C125" s="216" t="s">
        <v>885</v>
      </c>
      <c r="D125" s="216" t="s">
        <v>137</v>
      </c>
      <c r="E125" s="216" t="s">
        <v>705</v>
      </c>
      <c r="F125" s="381"/>
      <c r="G125" s="534">
        <f>G126</f>
        <v>0</v>
      </c>
      <c r="H125" s="534">
        <f t="shared" ref="H125:N125" si="45">H126</f>
        <v>595.89</v>
      </c>
      <c r="I125" s="233">
        <f t="shared" si="45"/>
        <v>0</v>
      </c>
      <c r="J125" s="534">
        <f>J126+J127</f>
        <v>229.999</v>
      </c>
      <c r="K125" s="233">
        <f t="shared" si="45"/>
        <v>0</v>
      </c>
      <c r="L125" s="647">
        <f>L126+L127</f>
        <v>-181.75399999999999</v>
      </c>
      <c r="M125" s="233">
        <f t="shared" si="45"/>
        <v>0</v>
      </c>
      <c r="N125" s="233">
        <f t="shared" si="45"/>
        <v>0</v>
      </c>
      <c r="O125" s="594">
        <f>O126+O127</f>
        <v>644.13499999999999</v>
      </c>
    </row>
    <row r="126" spans="1:15" s="114" customFormat="1" ht="48" customHeight="1" x14ac:dyDescent="0.25">
      <c r="A126" s="217" t="s">
        <v>1197</v>
      </c>
      <c r="B126" s="218" t="s">
        <v>76</v>
      </c>
      <c r="C126" s="218" t="s">
        <v>885</v>
      </c>
      <c r="D126" s="218" t="s">
        <v>137</v>
      </c>
      <c r="E126" s="218" t="s">
        <v>705</v>
      </c>
      <c r="F126" s="381"/>
      <c r="G126" s="530">
        <v>0</v>
      </c>
      <c r="H126" s="529">
        <v>595.89</v>
      </c>
      <c r="I126" s="155"/>
      <c r="J126" s="529">
        <v>-1E-3</v>
      </c>
      <c r="K126" s="629"/>
      <c r="L126" s="156">
        <v>-140.613</v>
      </c>
      <c r="M126" s="155"/>
      <c r="N126" s="156"/>
      <c r="O126" s="480">
        <f>SUM(G126:N126)</f>
        <v>455.27600000000001</v>
      </c>
    </row>
    <row r="127" spans="1:15" s="114" customFormat="1" ht="41.25" customHeight="1" x14ac:dyDescent="0.25">
      <c r="A127" s="217" t="s">
        <v>1196</v>
      </c>
      <c r="B127" s="218" t="s">
        <v>76</v>
      </c>
      <c r="C127" s="218" t="s">
        <v>885</v>
      </c>
      <c r="D127" s="218" t="s">
        <v>137</v>
      </c>
      <c r="E127" s="218" t="s">
        <v>705</v>
      </c>
      <c r="F127" s="459"/>
      <c r="G127" s="530"/>
      <c r="H127" s="529"/>
      <c r="I127" s="155"/>
      <c r="J127" s="529">
        <v>230</v>
      </c>
      <c r="K127" s="629"/>
      <c r="L127" s="156">
        <v>-41.140999999999998</v>
      </c>
      <c r="M127" s="155"/>
      <c r="N127" s="156"/>
      <c r="O127" s="480">
        <f>H127+J127+L127</f>
        <v>188.85900000000001</v>
      </c>
    </row>
    <row r="128" spans="1:15" s="116" customFormat="1" ht="26.25" customHeight="1" x14ac:dyDescent="0.25">
      <c r="A128" s="83" t="s">
        <v>330</v>
      </c>
      <c r="B128" s="72" t="s">
        <v>9</v>
      </c>
      <c r="C128" s="9" t="s">
        <v>331</v>
      </c>
      <c r="D128" s="72" t="s">
        <v>137</v>
      </c>
      <c r="E128" s="9" t="s">
        <v>9</v>
      </c>
      <c r="F128" s="10"/>
      <c r="G128" s="527">
        <f>G129+G257+G268</f>
        <v>646422.24</v>
      </c>
      <c r="H128" s="527">
        <f>H129+H257+H268</f>
        <v>67977.08</v>
      </c>
      <c r="I128" s="230">
        <f>I129+I257</f>
        <v>0</v>
      </c>
      <c r="J128" s="527">
        <f>J129+J257+J252+J268</f>
        <v>2241.5362400000013</v>
      </c>
      <c r="K128" s="233">
        <f>K129+K257+K268</f>
        <v>16594.120000000003</v>
      </c>
      <c r="L128" s="644">
        <f>L129+L257</f>
        <v>-183.26299999999998</v>
      </c>
      <c r="M128" s="230">
        <f>M129+M257</f>
        <v>0</v>
      </c>
      <c r="N128" s="230">
        <f>N129+N257</f>
        <v>0</v>
      </c>
      <c r="O128" s="592">
        <f>O129+O257+O268</f>
        <v>733051.71324000007</v>
      </c>
    </row>
    <row r="129" spans="1:15" s="116" customFormat="1" ht="31.5" x14ac:dyDescent="0.25">
      <c r="A129" s="83" t="s">
        <v>332</v>
      </c>
      <c r="B129" s="72" t="s">
        <v>9</v>
      </c>
      <c r="C129" s="9" t="s">
        <v>333</v>
      </c>
      <c r="D129" s="72" t="s">
        <v>137</v>
      </c>
      <c r="E129" s="9" t="s">
        <v>9</v>
      </c>
      <c r="F129" s="10"/>
      <c r="G129" s="527">
        <f t="shared" ref="G129:N129" si="46">G130+G133+G189+G230</f>
        <v>649580.74</v>
      </c>
      <c r="H129" s="527">
        <f t="shared" si="46"/>
        <v>68569.3</v>
      </c>
      <c r="I129" s="230">
        <f t="shared" si="46"/>
        <v>0</v>
      </c>
      <c r="J129" s="527">
        <f>J130+J133+J189+J230</f>
        <v>2257.2596500000009</v>
      </c>
      <c r="K129" s="233">
        <f t="shared" si="46"/>
        <v>16444.120000000003</v>
      </c>
      <c r="L129" s="644">
        <f t="shared" si="46"/>
        <v>-183.26299999999998</v>
      </c>
      <c r="M129" s="230">
        <f t="shared" si="46"/>
        <v>0</v>
      </c>
      <c r="N129" s="230">
        <f t="shared" si="46"/>
        <v>0</v>
      </c>
      <c r="O129" s="592">
        <f>O130+O133+O189+O230+O252</f>
        <v>737382.52965000004</v>
      </c>
    </row>
    <row r="130" spans="1:15" s="116" customFormat="1" ht="31.5" x14ac:dyDescent="0.25">
      <c r="A130" s="83" t="s">
        <v>697</v>
      </c>
      <c r="B130" s="72" t="s">
        <v>9</v>
      </c>
      <c r="C130" s="9" t="s">
        <v>527</v>
      </c>
      <c r="D130" s="72" t="s">
        <v>137</v>
      </c>
      <c r="E130" s="9">
        <v>150</v>
      </c>
      <c r="F130" s="10"/>
      <c r="G130" s="527">
        <f>G131</f>
        <v>136361</v>
      </c>
      <c r="H130" s="527">
        <f t="shared" ref="H130:O130" si="47">H131</f>
        <v>0</v>
      </c>
      <c r="I130" s="230">
        <f t="shared" si="47"/>
        <v>0</v>
      </c>
      <c r="J130" s="527">
        <f t="shared" si="47"/>
        <v>0</v>
      </c>
      <c r="K130" s="233">
        <f t="shared" si="47"/>
        <v>0</v>
      </c>
      <c r="L130" s="644">
        <f t="shared" si="47"/>
        <v>0</v>
      </c>
      <c r="M130" s="230">
        <f t="shared" si="47"/>
        <v>0</v>
      </c>
      <c r="N130" s="230">
        <f t="shared" si="47"/>
        <v>0</v>
      </c>
      <c r="O130" s="592">
        <f t="shared" si="47"/>
        <v>136361</v>
      </c>
    </row>
    <row r="131" spans="1:15" s="116" customFormat="1" ht="29.25" customHeight="1" x14ac:dyDescent="0.25">
      <c r="A131" s="83" t="s">
        <v>698</v>
      </c>
      <c r="B131" s="72" t="s">
        <v>9</v>
      </c>
      <c r="C131" s="9" t="s">
        <v>528</v>
      </c>
      <c r="D131" s="72" t="s">
        <v>137</v>
      </c>
      <c r="E131" s="9">
        <v>150</v>
      </c>
      <c r="F131" s="10"/>
      <c r="G131" s="527">
        <f t="shared" ref="G131:N131" si="48">G132</f>
        <v>136361</v>
      </c>
      <c r="H131" s="527">
        <f t="shared" si="48"/>
        <v>0</v>
      </c>
      <c r="I131" s="230">
        <f t="shared" si="48"/>
        <v>0</v>
      </c>
      <c r="J131" s="527">
        <f t="shared" si="48"/>
        <v>0</v>
      </c>
      <c r="K131" s="233">
        <f t="shared" si="48"/>
        <v>0</v>
      </c>
      <c r="L131" s="644">
        <f t="shared" si="48"/>
        <v>0</v>
      </c>
      <c r="M131" s="230">
        <f t="shared" si="48"/>
        <v>0</v>
      </c>
      <c r="N131" s="230">
        <f t="shared" si="48"/>
        <v>0</v>
      </c>
      <c r="O131" s="592">
        <f>O132</f>
        <v>136361</v>
      </c>
    </row>
    <row r="132" spans="1:15" s="116" customFormat="1" ht="18.75" customHeight="1" x14ac:dyDescent="0.25">
      <c r="A132" s="100" t="s">
        <v>698</v>
      </c>
      <c r="B132" s="99" t="s">
        <v>49</v>
      </c>
      <c r="C132" s="67" t="s">
        <v>528</v>
      </c>
      <c r="D132" s="79" t="s">
        <v>137</v>
      </c>
      <c r="E132" s="79" t="s">
        <v>705</v>
      </c>
      <c r="F132" s="381"/>
      <c r="G132" s="528">
        <v>136361</v>
      </c>
      <c r="H132" s="529"/>
      <c r="I132" s="155"/>
      <c r="J132" s="529"/>
      <c r="K132" s="629"/>
      <c r="L132" s="156"/>
      <c r="M132" s="155"/>
      <c r="N132" s="156"/>
      <c r="O132" s="480">
        <f>SUM(G132:N132)</f>
        <v>136361</v>
      </c>
    </row>
    <row r="133" spans="1:15" s="116" customFormat="1" ht="29.25" customHeight="1" x14ac:dyDescent="0.25">
      <c r="A133" s="83" t="s">
        <v>699</v>
      </c>
      <c r="B133" s="72" t="s">
        <v>9</v>
      </c>
      <c r="C133" s="9" t="s">
        <v>529</v>
      </c>
      <c r="D133" s="75" t="s">
        <v>137</v>
      </c>
      <c r="E133" s="75" t="s">
        <v>705</v>
      </c>
      <c r="F133" s="27"/>
      <c r="G133" s="527">
        <f>G134+G142+G154+G156+G162+G160+G150+G158+G152+G136+G138+G144+G148+G146</f>
        <v>264715.94</v>
      </c>
      <c r="H133" s="527">
        <f>H134+H142+H154+H156+H162+H160+H150+H158+H152+H136+H138+H144+H146+H148</f>
        <v>47286.100000000006</v>
      </c>
      <c r="I133" s="230">
        <f t="shared" ref="I133:N133" si="49">I134+I142+I154+I156+I162+I160+I150+I158+I152+I136+I138+I144</f>
        <v>0</v>
      </c>
      <c r="J133" s="527">
        <f t="shared" si="49"/>
        <v>2257.2596500000009</v>
      </c>
      <c r="K133" s="233">
        <f>K134+K142+K154+K156+K162+K160+K150+K158+K152+K136+K138+K144+K148</f>
        <v>16982.940000000002</v>
      </c>
      <c r="L133" s="644">
        <f t="shared" si="49"/>
        <v>-492.39699999999999</v>
      </c>
      <c r="M133" s="230">
        <f t="shared" si="49"/>
        <v>0</v>
      </c>
      <c r="N133" s="230">
        <f t="shared" si="49"/>
        <v>0</v>
      </c>
      <c r="O133" s="592">
        <f>O134+O142+O154+O156+O162+O160+O150+O158+O152+O136+O138+O144+O148+O146</f>
        <v>330749.84265000006</v>
      </c>
    </row>
    <row r="134" spans="1:15" s="114" customFormat="1" ht="78.75" x14ac:dyDescent="0.25">
      <c r="A134" s="83" t="s">
        <v>336</v>
      </c>
      <c r="B134" s="72" t="s">
        <v>9</v>
      </c>
      <c r="C134" s="9" t="s">
        <v>583</v>
      </c>
      <c r="D134" s="72" t="s">
        <v>137</v>
      </c>
      <c r="E134" s="9">
        <v>150</v>
      </c>
      <c r="F134" s="10"/>
      <c r="G134" s="527">
        <f>G135</f>
        <v>19177</v>
      </c>
      <c r="H134" s="527">
        <f t="shared" ref="H134:O134" si="50">H135</f>
        <v>0</v>
      </c>
      <c r="I134" s="230">
        <f t="shared" si="50"/>
        <v>0</v>
      </c>
      <c r="J134" s="527">
        <f t="shared" si="50"/>
        <v>0</v>
      </c>
      <c r="K134" s="233">
        <f t="shared" si="50"/>
        <v>0</v>
      </c>
      <c r="L134" s="644">
        <f t="shared" si="50"/>
        <v>0</v>
      </c>
      <c r="M134" s="230">
        <f t="shared" si="50"/>
        <v>0</v>
      </c>
      <c r="N134" s="230">
        <f t="shared" si="50"/>
        <v>0</v>
      </c>
      <c r="O134" s="592">
        <f t="shared" si="50"/>
        <v>19177</v>
      </c>
    </row>
    <row r="135" spans="1:15" ht="78.75" x14ac:dyDescent="0.25">
      <c r="A135" s="100" t="s">
        <v>336</v>
      </c>
      <c r="B135" s="99" t="s">
        <v>76</v>
      </c>
      <c r="C135" s="67" t="s">
        <v>583</v>
      </c>
      <c r="D135" s="99" t="s">
        <v>137</v>
      </c>
      <c r="E135" s="67">
        <v>150</v>
      </c>
      <c r="F135" s="17"/>
      <c r="G135" s="528">
        <v>19177</v>
      </c>
      <c r="H135" s="533"/>
      <c r="I135" s="165"/>
      <c r="J135" s="533"/>
      <c r="K135" s="442"/>
      <c r="L135" s="166"/>
      <c r="M135" s="165"/>
      <c r="N135" s="166"/>
      <c r="O135" s="480">
        <f>SUM(G135:N135)</f>
        <v>19177</v>
      </c>
    </row>
    <row r="136" spans="1:15" ht="109.15" hidden="1" x14ac:dyDescent="0.3">
      <c r="A136" s="244" t="s">
        <v>899</v>
      </c>
      <c r="B136" s="72" t="s">
        <v>9</v>
      </c>
      <c r="C136" s="9" t="s">
        <v>923</v>
      </c>
      <c r="D136" s="72" t="s">
        <v>137</v>
      </c>
      <c r="E136" s="9">
        <v>150</v>
      </c>
      <c r="F136" s="10"/>
      <c r="G136" s="230">
        <f>G137</f>
        <v>0</v>
      </c>
      <c r="H136" s="230">
        <f t="shared" ref="H136:N136" si="51">H137</f>
        <v>0</v>
      </c>
      <c r="I136" s="230">
        <f t="shared" si="51"/>
        <v>0</v>
      </c>
      <c r="J136" s="230">
        <f t="shared" si="51"/>
        <v>0</v>
      </c>
      <c r="K136" s="230">
        <f t="shared" si="51"/>
        <v>0</v>
      </c>
      <c r="L136" s="230">
        <f t="shared" si="51"/>
        <v>0</v>
      </c>
      <c r="M136" s="230">
        <f t="shared" si="51"/>
        <v>0</v>
      </c>
      <c r="N136" s="230">
        <f t="shared" si="51"/>
        <v>0</v>
      </c>
      <c r="O136" s="276">
        <f>O137</f>
        <v>0</v>
      </c>
    </row>
    <row r="137" spans="1:15" ht="93.6" hidden="1" x14ac:dyDescent="0.3">
      <c r="A137" s="235" t="s">
        <v>899</v>
      </c>
      <c r="B137" s="99" t="s">
        <v>49</v>
      </c>
      <c r="C137" s="67" t="s">
        <v>924</v>
      </c>
      <c r="D137" s="99" t="s">
        <v>137</v>
      </c>
      <c r="E137" s="67">
        <v>150</v>
      </c>
      <c r="F137" s="17"/>
      <c r="G137" s="231"/>
      <c r="H137" s="165"/>
      <c r="I137" s="165"/>
      <c r="J137" s="165"/>
      <c r="K137" s="165"/>
      <c r="L137" s="21"/>
      <c r="M137" s="165"/>
      <c r="N137" s="166"/>
      <c r="O137" s="278">
        <f>SUM(G137:N137)</f>
        <v>0</v>
      </c>
    </row>
    <row r="138" spans="1:15" ht="79.5" hidden="1" customHeight="1" x14ac:dyDescent="0.3">
      <c r="A138" s="244" t="s">
        <v>900</v>
      </c>
      <c r="B138" s="16" t="s">
        <v>9</v>
      </c>
      <c r="C138" s="10" t="s">
        <v>591</v>
      </c>
      <c r="D138" s="16" t="s">
        <v>335</v>
      </c>
      <c r="E138" s="10">
        <v>151</v>
      </c>
      <c r="F138" s="10"/>
      <c r="G138" s="245">
        <f>G139</f>
        <v>0</v>
      </c>
      <c r="H138" s="245">
        <f t="shared" ref="H138:O138" si="52">H139</f>
        <v>0</v>
      </c>
      <c r="I138" s="245">
        <f t="shared" si="52"/>
        <v>0</v>
      </c>
      <c r="J138" s="245">
        <f t="shared" si="52"/>
        <v>0</v>
      </c>
      <c r="K138" s="245">
        <f t="shared" si="52"/>
        <v>0</v>
      </c>
      <c r="L138" s="245">
        <f t="shared" si="52"/>
        <v>0</v>
      </c>
      <c r="M138" s="245">
        <f t="shared" si="52"/>
        <v>0</v>
      </c>
      <c r="N138" s="245">
        <f t="shared" si="52"/>
        <v>0</v>
      </c>
      <c r="O138" s="279">
        <f t="shared" si="52"/>
        <v>0</v>
      </c>
    </row>
    <row r="139" spans="1:15" ht="82.5" hidden="1" customHeight="1" x14ac:dyDescent="0.3">
      <c r="A139" s="235" t="s">
        <v>900</v>
      </c>
      <c r="B139" s="15" t="s">
        <v>49</v>
      </c>
      <c r="C139" s="17" t="s">
        <v>592</v>
      </c>
      <c r="D139" s="15" t="s">
        <v>335</v>
      </c>
      <c r="E139" s="17">
        <v>151</v>
      </c>
      <c r="F139" s="17"/>
      <c r="G139" s="189"/>
      <c r="H139" s="21"/>
      <c r="I139" s="21"/>
      <c r="J139" s="21"/>
      <c r="K139" s="21"/>
      <c r="L139" s="21"/>
      <c r="M139" s="21"/>
      <c r="N139" s="166"/>
      <c r="O139" s="280">
        <f>SUM(G139:N139)</f>
        <v>0</v>
      </c>
    </row>
    <row r="140" spans="1:15" ht="40.5" hidden="1" customHeight="1" x14ac:dyDescent="0.3">
      <c r="A140" s="14" t="s">
        <v>672</v>
      </c>
      <c r="B140" s="16" t="s">
        <v>9</v>
      </c>
      <c r="C140" s="10" t="s">
        <v>669</v>
      </c>
      <c r="D140" s="16" t="s">
        <v>137</v>
      </c>
      <c r="E140" s="10">
        <v>151</v>
      </c>
      <c r="F140" s="17"/>
      <c r="G140" s="245">
        <f>G141</f>
        <v>0</v>
      </c>
      <c r="H140" s="245">
        <f t="shared" ref="H140:O140" si="53">H141</f>
        <v>0</v>
      </c>
      <c r="I140" s="245">
        <f t="shared" si="53"/>
        <v>0</v>
      </c>
      <c r="J140" s="245">
        <f t="shared" si="53"/>
        <v>0</v>
      </c>
      <c r="K140" s="245">
        <f t="shared" si="53"/>
        <v>0</v>
      </c>
      <c r="L140" s="245">
        <f t="shared" si="53"/>
        <v>0</v>
      </c>
      <c r="M140" s="245">
        <f t="shared" si="53"/>
        <v>0</v>
      </c>
      <c r="N140" s="245">
        <f t="shared" si="53"/>
        <v>0</v>
      </c>
      <c r="O140" s="245">
        <f t="shared" si="53"/>
        <v>0</v>
      </c>
    </row>
    <row r="141" spans="1:15" s="116" customFormat="1" ht="36" hidden="1" customHeight="1" x14ac:dyDescent="0.3">
      <c r="A141" s="19" t="s">
        <v>672</v>
      </c>
      <c r="B141" s="15" t="s">
        <v>22</v>
      </c>
      <c r="C141" s="17" t="s">
        <v>669</v>
      </c>
      <c r="D141" s="15" t="s">
        <v>137</v>
      </c>
      <c r="E141" s="17">
        <v>151</v>
      </c>
      <c r="F141" s="17"/>
      <c r="G141" s="189"/>
      <c r="H141" s="12"/>
      <c r="I141" s="12"/>
      <c r="J141" s="12"/>
      <c r="K141" s="12"/>
      <c r="L141" s="12"/>
      <c r="M141" s="12"/>
      <c r="N141" s="156"/>
      <c r="O141" s="158">
        <f>SUM(G141:N141)</f>
        <v>0</v>
      </c>
    </row>
    <row r="142" spans="1:15" s="116" customFormat="1" ht="44.25" hidden="1" customHeight="1" x14ac:dyDescent="0.3">
      <c r="A142" s="83" t="s">
        <v>673</v>
      </c>
      <c r="B142" s="72" t="s">
        <v>9</v>
      </c>
      <c r="C142" s="9" t="s">
        <v>670</v>
      </c>
      <c r="D142" s="72" t="s">
        <v>137</v>
      </c>
      <c r="E142" s="9">
        <v>150</v>
      </c>
      <c r="F142" s="17"/>
      <c r="G142" s="230">
        <f>G143</f>
        <v>0</v>
      </c>
      <c r="H142" s="230">
        <f t="shared" ref="H142:O142" si="54">H143</f>
        <v>0</v>
      </c>
      <c r="I142" s="230">
        <f t="shared" si="54"/>
        <v>0</v>
      </c>
      <c r="J142" s="230">
        <f t="shared" si="54"/>
        <v>0</v>
      </c>
      <c r="K142" s="230">
        <f t="shared" si="54"/>
        <v>0</v>
      </c>
      <c r="L142" s="230">
        <f t="shared" si="54"/>
        <v>0</v>
      </c>
      <c r="M142" s="230">
        <f t="shared" si="54"/>
        <v>0</v>
      </c>
      <c r="N142" s="230">
        <f t="shared" si="54"/>
        <v>0</v>
      </c>
      <c r="O142" s="276">
        <f t="shared" si="54"/>
        <v>0</v>
      </c>
    </row>
    <row r="143" spans="1:15" s="116" customFormat="1" ht="45.75" hidden="1" customHeight="1" x14ac:dyDescent="0.3">
      <c r="A143" s="100" t="s">
        <v>673</v>
      </c>
      <c r="B143" s="99" t="s">
        <v>22</v>
      </c>
      <c r="C143" s="246" t="s">
        <v>670</v>
      </c>
      <c r="D143" s="99" t="s">
        <v>137</v>
      </c>
      <c r="E143" s="67">
        <v>150</v>
      </c>
      <c r="F143" s="17"/>
      <c r="G143" s="231"/>
      <c r="H143" s="165"/>
      <c r="I143" s="165"/>
      <c r="J143" s="165"/>
      <c r="K143" s="165"/>
      <c r="L143" s="21"/>
      <c r="M143" s="165"/>
      <c r="N143" s="166"/>
      <c r="O143" s="278">
        <f>SUM(G143:N143)</f>
        <v>0</v>
      </c>
    </row>
    <row r="144" spans="1:15" s="116" customFormat="1" ht="47.25" hidden="1" customHeight="1" x14ac:dyDescent="0.3">
      <c r="A144" s="83" t="s">
        <v>838</v>
      </c>
      <c r="B144" s="72" t="s">
        <v>9</v>
      </c>
      <c r="C144" s="169" t="s">
        <v>927</v>
      </c>
      <c r="D144" s="72" t="s">
        <v>137</v>
      </c>
      <c r="E144" s="9">
        <v>150</v>
      </c>
      <c r="F144" s="10"/>
      <c r="G144" s="230">
        <f>G145</f>
        <v>0</v>
      </c>
      <c r="H144" s="230">
        <f t="shared" ref="H144:O144" si="55">H145</f>
        <v>0</v>
      </c>
      <c r="I144" s="230">
        <f t="shared" si="55"/>
        <v>0</v>
      </c>
      <c r="J144" s="230">
        <f t="shared" si="55"/>
        <v>0</v>
      </c>
      <c r="K144" s="230">
        <f t="shared" si="55"/>
        <v>0</v>
      </c>
      <c r="L144" s="230">
        <f t="shared" si="55"/>
        <v>0</v>
      </c>
      <c r="M144" s="230">
        <f t="shared" si="55"/>
        <v>0</v>
      </c>
      <c r="N144" s="230">
        <f t="shared" si="55"/>
        <v>0</v>
      </c>
      <c r="O144" s="276">
        <f t="shared" si="55"/>
        <v>0</v>
      </c>
    </row>
    <row r="145" spans="1:15" s="116" customFormat="1" ht="47.25" hidden="1" customHeight="1" x14ac:dyDescent="0.3">
      <c r="A145" s="100" t="s">
        <v>926</v>
      </c>
      <c r="B145" s="99" t="s">
        <v>76</v>
      </c>
      <c r="C145" s="246" t="s">
        <v>925</v>
      </c>
      <c r="D145" s="99" t="s">
        <v>137</v>
      </c>
      <c r="E145" s="67">
        <v>150</v>
      </c>
      <c r="F145" s="17"/>
      <c r="G145" s="234"/>
      <c r="H145" s="165"/>
      <c r="I145" s="165"/>
      <c r="J145" s="165"/>
      <c r="K145" s="165"/>
      <c r="L145" s="21"/>
      <c r="M145" s="165"/>
      <c r="N145" s="166"/>
      <c r="O145" s="278">
        <f>SUM(G145:N145)</f>
        <v>0</v>
      </c>
    </row>
    <row r="146" spans="1:15" s="116" customFormat="1" ht="47.25" customHeight="1" x14ac:dyDescent="0.25">
      <c r="A146" s="351" t="s">
        <v>1140</v>
      </c>
      <c r="B146" s="72" t="s">
        <v>9</v>
      </c>
      <c r="C146" s="169" t="s">
        <v>1141</v>
      </c>
      <c r="D146" s="72" t="s">
        <v>137</v>
      </c>
      <c r="E146" s="9">
        <v>150</v>
      </c>
      <c r="F146" s="17"/>
      <c r="G146" s="534">
        <f>G147</f>
        <v>1890.7</v>
      </c>
      <c r="H146" s="534">
        <f t="shared" ref="H146:N146" si="56">H147</f>
        <v>0</v>
      </c>
      <c r="I146" s="233">
        <f t="shared" si="56"/>
        <v>0</v>
      </c>
      <c r="J146" s="534">
        <f t="shared" si="56"/>
        <v>0</v>
      </c>
      <c r="K146" s="233">
        <f t="shared" si="56"/>
        <v>0</v>
      </c>
      <c r="L146" s="647">
        <f t="shared" si="56"/>
        <v>0</v>
      </c>
      <c r="M146" s="233">
        <f t="shared" si="56"/>
        <v>0</v>
      </c>
      <c r="N146" s="233">
        <f t="shared" si="56"/>
        <v>0</v>
      </c>
      <c r="O146" s="594">
        <f>O147</f>
        <v>1890.7</v>
      </c>
    </row>
    <row r="147" spans="1:15" s="116" customFormat="1" ht="47.25" customHeight="1" x14ac:dyDescent="0.25">
      <c r="A147" s="352" t="s">
        <v>1140</v>
      </c>
      <c r="B147" s="99" t="s">
        <v>22</v>
      </c>
      <c r="C147" s="246" t="s">
        <v>1142</v>
      </c>
      <c r="D147" s="99" t="s">
        <v>137</v>
      </c>
      <c r="E147" s="67">
        <v>150</v>
      </c>
      <c r="F147" s="17"/>
      <c r="G147" s="530">
        <v>1890.7</v>
      </c>
      <c r="H147" s="533"/>
      <c r="I147" s="165"/>
      <c r="J147" s="533"/>
      <c r="K147" s="442"/>
      <c r="L147" s="166"/>
      <c r="M147" s="165"/>
      <c r="N147" s="166"/>
      <c r="O147" s="480">
        <f>SUM(G147:N147)</f>
        <v>1890.7</v>
      </c>
    </row>
    <row r="148" spans="1:15" s="116" customFormat="1" ht="47.25" customHeight="1" x14ac:dyDescent="0.25">
      <c r="A148" s="83" t="s">
        <v>1030</v>
      </c>
      <c r="B148" s="72" t="s">
        <v>9</v>
      </c>
      <c r="C148" s="169" t="s">
        <v>1031</v>
      </c>
      <c r="D148" s="72" t="s">
        <v>137</v>
      </c>
      <c r="E148" s="9">
        <v>150</v>
      </c>
      <c r="F148" s="17"/>
      <c r="G148" s="527">
        <f>G149</f>
        <v>10395</v>
      </c>
      <c r="H148" s="531">
        <f>H149</f>
        <v>-4055</v>
      </c>
      <c r="I148" s="165"/>
      <c r="J148" s="533"/>
      <c r="K148" s="630">
        <f>K149</f>
        <v>635</v>
      </c>
      <c r="L148" s="166"/>
      <c r="M148" s="165"/>
      <c r="N148" s="166"/>
      <c r="O148" s="592">
        <f>O149</f>
        <v>6975</v>
      </c>
    </row>
    <row r="149" spans="1:15" s="116" customFormat="1" ht="47.25" customHeight="1" x14ac:dyDescent="0.25">
      <c r="A149" s="100" t="s">
        <v>1030</v>
      </c>
      <c r="B149" s="99" t="s">
        <v>76</v>
      </c>
      <c r="C149" s="246" t="s">
        <v>1031</v>
      </c>
      <c r="D149" s="99" t="s">
        <v>137</v>
      </c>
      <c r="E149" s="67">
        <v>150</v>
      </c>
      <c r="F149" s="17"/>
      <c r="G149" s="530">
        <v>10395</v>
      </c>
      <c r="H149" s="533">
        <v>-4055</v>
      </c>
      <c r="I149" s="165"/>
      <c r="J149" s="533"/>
      <c r="K149" s="442">
        <v>635</v>
      </c>
      <c r="L149" s="166"/>
      <c r="M149" s="165"/>
      <c r="N149" s="166"/>
      <c r="O149" s="480">
        <f>SUM(G149:N149)</f>
        <v>6975</v>
      </c>
    </row>
    <row r="150" spans="1:15" s="116" customFormat="1" ht="52.5" customHeight="1" x14ac:dyDescent="0.25">
      <c r="A150" s="14" t="s">
        <v>833</v>
      </c>
      <c r="B150" s="16" t="s">
        <v>9</v>
      </c>
      <c r="C150" s="247" t="s">
        <v>825</v>
      </c>
      <c r="D150" s="16" t="s">
        <v>137</v>
      </c>
      <c r="E150" s="10">
        <v>150</v>
      </c>
      <c r="F150" s="17"/>
      <c r="G150" s="527">
        <f>G151</f>
        <v>10581.800000000001</v>
      </c>
      <c r="H150" s="527">
        <f t="shared" ref="H150:N150" si="57">H151</f>
        <v>0</v>
      </c>
      <c r="I150" s="230">
        <f t="shared" si="57"/>
        <v>0</v>
      </c>
      <c r="J150" s="527">
        <f t="shared" si="57"/>
        <v>0</v>
      </c>
      <c r="K150" s="233">
        <f t="shared" si="57"/>
        <v>0</v>
      </c>
      <c r="L150" s="644">
        <f t="shared" si="57"/>
        <v>0</v>
      </c>
      <c r="M150" s="230">
        <f t="shared" si="57"/>
        <v>0</v>
      </c>
      <c r="N150" s="230">
        <f t="shared" si="57"/>
        <v>0</v>
      </c>
      <c r="O150" s="592">
        <f>O151</f>
        <v>10581.800000000001</v>
      </c>
    </row>
    <row r="151" spans="1:15" s="116" customFormat="1" ht="66.75" customHeight="1" x14ac:dyDescent="0.25">
      <c r="A151" s="19" t="s">
        <v>824</v>
      </c>
      <c r="B151" s="15" t="s">
        <v>22</v>
      </c>
      <c r="C151" s="248" t="s">
        <v>826</v>
      </c>
      <c r="D151" s="15" t="s">
        <v>137</v>
      </c>
      <c r="E151" s="17">
        <v>150</v>
      </c>
      <c r="F151" s="17"/>
      <c r="G151" s="528">
        <f>10643.6-61.8</f>
        <v>10581.800000000001</v>
      </c>
      <c r="H151" s="533"/>
      <c r="I151" s="165"/>
      <c r="J151" s="533"/>
      <c r="K151" s="442"/>
      <c r="L151" s="166"/>
      <c r="M151" s="165"/>
      <c r="N151" s="166"/>
      <c r="O151" s="480">
        <f>SUM(G151:N151)</f>
        <v>10581.800000000001</v>
      </c>
    </row>
    <row r="152" spans="1:15" s="116" customFormat="1" ht="53.25" hidden="1" customHeight="1" x14ac:dyDescent="0.3">
      <c r="A152" s="14" t="s">
        <v>884</v>
      </c>
      <c r="B152" s="16" t="s">
        <v>9</v>
      </c>
      <c r="C152" s="247" t="s">
        <v>881</v>
      </c>
      <c r="D152" s="16" t="s">
        <v>137</v>
      </c>
      <c r="E152" s="10">
        <v>150</v>
      </c>
      <c r="F152" s="17"/>
      <c r="G152" s="230">
        <f>G153</f>
        <v>0</v>
      </c>
      <c r="H152" s="230">
        <f t="shared" ref="H152:O152" si="58">H153</f>
        <v>0</v>
      </c>
      <c r="I152" s="230">
        <f t="shared" si="58"/>
        <v>0</v>
      </c>
      <c r="J152" s="230">
        <f t="shared" si="58"/>
        <v>0</v>
      </c>
      <c r="K152" s="230">
        <f t="shared" si="58"/>
        <v>0</v>
      </c>
      <c r="L152" s="230">
        <f t="shared" si="58"/>
        <v>0</v>
      </c>
      <c r="M152" s="230">
        <f t="shared" si="58"/>
        <v>0</v>
      </c>
      <c r="N152" s="230">
        <f t="shared" si="58"/>
        <v>0</v>
      </c>
      <c r="O152" s="230">
        <f t="shared" si="58"/>
        <v>0</v>
      </c>
    </row>
    <row r="153" spans="1:15" s="116" customFormat="1" ht="53.25" hidden="1" customHeight="1" x14ac:dyDescent="0.3">
      <c r="A153" s="19" t="s">
        <v>883</v>
      </c>
      <c r="B153" s="15" t="s">
        <v>76</v>
      </c>
      <c r="C153" s="248" t="s">
        <v>882</v>
      </c>
      <c r="D153" s="15" t="s">
        <v>137</v>
      </c>
      <c r="E153" s="17">
        <v>150</v>
      </c>
      <c r="F153" s="17"/>
      <c r="G153" s="231"/>
      <c r="H153" s="165"/>
      <c r="I153" s="165"/>
      <c r="J153" s="165"/>
      <c r="K153" s="165"/>
      <c r="L153" s="165"/>
      <c r="M153" s="165"/>
      <c r="N153" s="166"/>
      <c r="O153" s="158">
        <f>SUM(G153:N153)</f>
        <v>0</v>
      </c>
    </row>
    <row r="154" spans="1:15" s="116" customFormat="1" ht="54.75" hidden="1" customHeight="1" x14ac:dyDescent="0.3">
      <c r="A154" s="14" t="s">
        <v>815</v>
      </c>
      <c r="B154" s="16" t="s">
        <v>9</v>
      </c>
      <c r="C154" s="247" t="s">
        <v>812</v>
      </c>
      <c r="D154" s="16" t="s">
        <v>137</v>
      </c>
      <c r="E154" s="10">
        <v>150</v>
      </c>
      <c r="F154" s="17"/>
      <c r="G154" s="249">
        <f>G155</f>
        <v>0</v>
      </c>
      <c r="H154" s="249">
        <f t="shared" ref="H154:O154" si="59">H155</f>
        <v>0</v>
      </c>
      <c r="I154" s="249">
        <f t="shared" si="59"/>
        <v>0</v>
      </c>
      <c r="J154" s="249">
        <f t="shared" si="59"/>
        <v>0</v>
      </c>
      <c r="K154" s="249">
        <f t="shared" si="59"/>
        <v>0</v>
      </c>
      <c r="L154" s="249">
        <f t="shared" si="59"/>
        <v>0</v>
      </c>
      <c r="M154" s="249">
        <f t="shared" si="59"/>
        <v>0</v>
      </c>
      <c r="N154" s="249">
        <f t="shared" si="59"/>
        <v>0</v>
      </c>
      <c r="O154" s="249">
        <f t="shared" si="59"/>
        <v>0</v>
      </c>
    </row>
    <row r="155" spans="1:15" s="116" customFormat="1" ht="58.5" hidden="1" customHeight="1" x14ac:dyDescent="0.3">
      <c r="A155" s="19" t="s">
        <v>814</v>
      </c>
      <c r="B155" s="15" t="s">
        <v>22</v>
      </c>
      <c r="C155" s="248" t="s">
        <v>812</v>
      </c>
      <c r="D155" s="15" t="s">
        <v>137</v>
      </c>
      <c r="E155" s="17">
        <v>150</v>
      </c>
      <c r="F155" s="17"/>
      <c r="G155" s="189"/>
      <c r="H155" s="165"/>
      <c r="I155" s="165"/>
      <c r="J155" s="165"/>
      <c r="K155" s="165"/>
      <c r="L155" s="165"/>
      <c r="M155" s="165"/>
      <c r="N155" s="166"/>
      <c r="O155" s="158">
        <f>SUM(G155:N155)</f>
        <v>0</v>
      </c>
    </row>
    <row r="156" spans="1:15" ht="38.25" customHeight="1" x14ac:dyDescent="0.25">
      <c r="A156" s="83" t="s">
        <v>734</v>
      </c>
      <c r="B156" s="72" t="s">
        <v>9</v>
      </c>
      <c r="C156" s="169" t="s">
        <v>735</v>
      </c>
      <c r="D156" s="72" t="s">
        <v>137</v>
      </c>
      <c r="E156" s="9">
        <v>150</v>
      </c>
      <c r="F156" s="17"/>
      <c r="G156" s="527">
        <f>G157</f>
        <v>1777.8899999999999</v>
      </c>
      <c r="H156" s="527">
        <f t="shared" ref="H156:N156" si="60">H157</f>
        <v>0</v>
      </c>
      <c r="I156" s="230">
        <f t="shared" si="60"/>
        <v>0</v>
      </c>
      <c r="J156" s="527">
        <f t="shared" si="60"/>
        <v>0</v>
      </c>
      <c r="K156" s="233">
        <f>K157</f>
        <v>-136.76</v>
      </c>
      <c r="L156" s="644">
        <f t="shared" si="60"/>
        <v>0</v>
      </c>
      <c r="M156" s="230">
        <f t="shared" si="60"/>
        <v>0</v>
      </c>
      <c r="N156" s="230">
        <f t="shared" si="60"/>
        <v>0</v>
      </c>
      <c r="O156" s="592">
        <f>O157</f>
        <v>1641.1299999999999</v>
      </c>
    </row>
    <row r="157" spans="1:15" ht="34.5" customHeight="1" x14ac:dyDescent="0.25">
      <c r="A157" s="100" t="s">
        <v>734</v>
      </c>
      <c r="B157" s="99" t="s">
        <v>76</v>
      </c>
      <c r="C157" s="246" t="s">
        <v>735</v>
      </c>
      <c r="D157" s="99" t="s">
        <v>137</v>
      </c>
      <c r="E157" s="67">
        <v>150</v>
      </c>
      <c r="F157" s="17"/>
      <c r="G157" s="528">
        <f>1900.12-122.23</f>
        <v>1777.8899999999999</v>
      </c>
      <c r="H157" s="533"/>
      <c r="I157" s="165"/>
      <c r="J157" s="533"/>
      <c r="K157" s="442">
        <v>-136.76</v>
      </c>
      <c r="L157" s="166"/>
      <c r="M157" s="165"/>
      <c r="N157" s="166"/>
      <c r="O157" s="480">
        <f>SUM(G157:N157)</f>
        <v>1641.1299999999999</v>
      </c>
    </row>
    <row r="158" spans="1:15" ht="27" customHeight="1" x14ac:dyDescent="0.25">
      <c r="A158" s="83" t="s">
        <v>832</v>
      </c>
      <c r="B158" s="72" t="s">
        <v>9</v>
      </c>
      <c r="C158" s="169" t="s">
        <v>829</v>
      </c>
      <c r="D158" s="72" t="s">
        <v>137</v>
      </c>
      <c r="E158" s="9">
        <v>150</v>
      </c>
      <c r="F158" s="17"/>
      <c r="G158" s="535">
        <f>G159</f>
        <v>0</v>
      </c>
      <c r="H158" s="535">
        <f t="shared" ref="H158:O158" si="61">H159</f>
        <v>0</v>
      </c>
      <c r="I158" s="230">
        <f t="shared" si="61"/>
        <v>0</v>
      </c>
      <c r="J158" s="535">
        <f t="shared" si="61"/>
        <v>166.4</v>
      </c>
      <c r="K158" s="233">
        <f t="shared" si="61"/>
        <v>0</v>
      </c>
      <c r="L158" s="644">
        <f t="shared" si="61"/>
        <v>0</v>
      </c>
      <c r="M158" s="230">
        <f t="shared" si="61"/>
        <v>0</v>
      </c>
      <c r="N158" s="230">
        <f t="shared" si="61"/>
        <v>0</v>
      </c>
      <c r="O158" s="426">
        <f t="shared" si="61"/>
        <v>166.4</v>
      </c>
    </row>
    <row r="159" spans="1:15" ht="36.75" customHeight="1" x14ac:dyDescent="0.25">
      <c r="A159" s="100" t="s">
        <v>827</v>
      </c>
      <c r="B159" s="99" t="s">
        <v>76</v>
      </c>
      <c r="C159" s="246" t="s">
        <v>828</v>
      </c>
      <c r="D159" s="99" t="s">
        <v>137</v>
      </c>
      <c r="E159" s="67">
        <v>150</v>
      </c>
      <c r="F159" s="17"/>
      <c r="G159" s="536"/>
      <c r="H159" s="515"/>
      <c r="I159" s="165"/>
      <c r="J159" s="515">
        <v>166.4</v>
      </c>
      <c r="K159" s="442"/>
      <c r="L159" s="166"/>
      <c r="M159" s="165"/>
      <c r="N159" s="166"/>
      <c r="O159" s="596">
        <f>SUM(G159:N159)</f>
        <v>166.4</v>
      </c>
    </row>
    <row r="160" spans="1:15" ht="31.5" customHeight="1" x14ac:dyDescent="0.25">
      <c r="A160" s="83" t="s">
        <v>691</v>
      </c>
      <c r="B160" s="72" t="s">
        <v>9</v>
      </c>
      <c r="C160" s="169" t="s">
        <v>736</v>
      </c>
      <c r="D160" s="72" t="s">
        <v>137</v>
      </c>
      <c r="E160" s="9">
        <v>150</v>
      </c>
      <c r="F160" s="17"/>
      <c r="G160" s="527">
        <f>G161</f>
        <v>127.6</v>
      </c>
      <c r="H160" s="527">
        <f t="shared" ref="H160:O160" si="62">H161</f>
        <v>0</v>
      </c>
      <c r="I160" s="249">
        <f t="shared" si="62"/>
        <v>0</v>
      </c>
      <c r="J160" s="527">
        <f t="shared" si="62"/>
        <v>0</v>
      </c>
      <c r="K160" s="631">
        <f t="shared" si="62"/>
        <v>0</v>
      </c>
      <c r="L160" s="649">
        <f t="shared" si="62"/>
        <v>0</v>
      </c>
      <c r="M160" s="249">
        <f t="shared" si="62"/>
        <v>0</v>
      </c>
      <c r="N160" s="249">
        <f t="shared" si="62"/>
        <v>0</v>
      </c>
      <c r="O160" s="592">
        <f t="shared" si="62"/>
        <v>127.6</v>
      </c>
    </row>
    <row r="161" spans="1:15" ht="18.75" customHeight="1" x14ac:dyDescent="0.25">
      <c r="A161" s="19" t="s">
        <v>816</v>
      </c>
      <c r="B161" s="15" t="s">
        <v>76</v>
      </c>
      <c r="C161" s="250" t="s">
        <v>736</v>
      </c>
      <c r="D161" s="15" t="s">
        <v>137</v>
      </c>
      <c r="E161" s="17">
        <v>150</v>
      </c>
      <c r="F161" s="17"/>
      <c r="G161" s="529">
        <v>127.6</v>
      </c>
      <c r="H161" s="533"/>
      <c r="I161" s="165"/>
      <c r="J161" s="533"/>
      <c r="K161" s="442"/>
      <c r="L161" s="166"/>
      <c r="M161" s="165"/>
      <c r="N161" s="166"/>
      <c r="O161" s="480">
        <f>SUM(G161:N161)</f>
        <v>127.6</v>
      </c>
    </row>
    <row r="162" spans="1:15" x14ac:dyDescent="0.25">
      <c r="A162" s="83" t="s">
        <v>337</v>
      </c>
      <c r="B162" s="72" t="s">
        <v>9</v>
      </c>
      <c r="C162" s="9" t="s">
        <v>530</v>
      </c>
      <c r="D162" s="75" t="s">
        <v>137</v>
      </c>
      <c r="E162" s="75" t="s">
        <v>705</v>
      </c>
      <c r="F162" s="27"/>
      <c r="G162" s="527">
        <f>SUM(G167:G188)</f>
        <v>220765.95</v>
      </c>
      <c r="H162" s="527">
        <f>SUM(H167:H188)</f>
        <v>51341.100000000006</v>
      </c>
      <c r="I162" s="429">
        <f t="shared" ref="I162" si="63">SUM(I167:I188)</f>
        <v>0</v>
      </c>
      <c r="J162" s="527">
        <f>SUM(J167:J188)</f>
        <v>2090.8596500000008</v>
      </c>
      <c r="K162" s="233">
        <f t="shared" ref="K162:N162" si="64">SUM(K167:K188)</f>
        <v>16484.7</v>
      </c>
      <c r="L162" s="644">
        <f t="shared" si="64"/>
        <v>-492.39699999999999</v>
      </c>
      <c r="M162" s="230">
        <f t="shared" si="64"/>
        <v>0</v>
      </c>
      <c r="N162" s="230">
        <f t="shared" si="64"/>
        <v>0</v>
      </c>
      <c r="O162" s="592">
        <f>SUM(O167:O188)</f>
        <v>290190.21265000006</v>
      </c>
    </row>
    <row r="163" spans="1:15" x14ac:dyDescent="0.25">
      <c r="A163" s="100" t="s">
        <v>483</v>
      </c>
      <c r="B163" s="99">
        <v>903</v>
      </c>
      <c r="C163" s="67" t="s">
        <v>530</v>
      </c>
      <c r="D163" s="79" t="s">
        <v>137</v>
      </c>
      <c r="E163" s="79" t="s">
        <v>705</v>
      </c>
      <c r="F163" s="381"/>
      <c r="G163" s="528">
        <f>G173+G175+G180+G172</f>
        <v>11413.48</v>
      </c>
      <c r="H163" s="528">
        <f>H173+H175+H180+H172</f>
        <v>4003</v>
      </c>
      <c r="I163" s="430">
        <f t="shared" ref="I163" si="65">I173+I175+I180+I172</f>
        <v>0</v>
      </c>
      <c r="J163" s="528">
        <f>J173+J175+J180+J172+J182</f>
        <v>6700</v>
      </c>
      <c r="K163" s="234">
        <f>K173+K175+K180+K172+K182+K181</f>
        <v>0</v>
      </c>
      <c r="L163" s="645">
        <f>L173+L175+L180+L172</f>
        <v>0</v>
      </c>
      <c r="M163" s="231">
        <f>M173+M175+M180+M172</f>
        <v>0</v>
      </c>
      <c r="N163" s="231">
        <f>N173+N175+N180+N172</f>
        <v>0</v>
      </c>
      <c r="O163" s="480">
        <f>O173+O175+O180+O172+O182+O181</f>
        <v>22116.48</v>
      </c>
    </row>
    <row r="164" spans="1:15" x14ac:dyDescent="0.25">
      <c r="A164" s="100" t="s">
        <v>483</v>
      </c>
      <c r="B164" s="99" t="s">
        <v>49</v>
      </c>
      <c r="C164" s="67" t="s">
        <v>530</v>
      </c>
      <c r="D164" s="79" t="s">
        <v>137</v>
      </c>
      <c r="E164" s="79" t="s">
        <v>705</v>
      </c>
      <c r="F164" s="381"/>
      <c r="G164" s="528">
        <f>G171+G174</f>
        <v>107722</v>
      </c>
      <c r="H164" s="528">
        <f>H171</f>
        <v>12734</v>
      </c>
      <c r="I164" s="231">
        <f t="shared" ref="I164:N164" si="66">I169+I171+I174</f>
        <v>0</v>
      </c>
      <c r="J164" s="528">
        <f t="shared" si="66"/>
        <v>0</v>
      </c>
      <c r="K164" s="234">
        <f t="shared" si="66"/>
        <v>0</v>
      </c>
      <c r="L164" s="645">
        <f t="shared" si="66"/>
        <v>0</v>
      </c>
      <c r="M164" s="231">
        <f t="shared" si="66"/>
        <v>0</v>
      </c>
      <c r="N164" s="231">
        <f t="shared" si="66"/>
        <v>0</v>
      </c>
      <c r="O164" s="480">
        <f>O171+O174</f>
        <v>120456</v>
      </c>
    </row>
    <row r="165" spans="1:15" x14ac:dyDescent="0.25">
      <c r="A165" s="100" t="s">
        <v>483</v>
      </c>
      <c r="B165" s="99" t="s">
        <v>76</v>
      </c>
      <c r="C165" s="67" t="s">
        <v>530</v>
      </c>
      <c r="D165" s="79" t="s">
        <v>137</v>
      </c>
      <c r="E165" s="79" t="s">
        <v>705</v>
      </c>
      <c r="F165" s="381"/>
      <c r="G165" s="528">
        <f>G167+G188+G176+G168+G169+G170+G178</f>
        <v>101630.47</v>
      </c>
      <c r="H165" s="528">
        <f>H167+H188+H176+H184+H183+H185</f>
        <v>34604.1</v>
      </c>
      <c r="I165" s="430">
        <f t="shared" ref="I165" si="67">I167+I188+I176+I184+I183+I185</f>
        <v>0</v>
      </c>
      <c r="J165" s="528">
        <f>J167+J188+J176+J184+J183+J185+J168</f>
        <v>-4609.1403499999997</v>
      </c>
      <c r="K165" s="234">
        <f>K167+K188+K176+K186+K187+K179</f>
        <v>16484.7</v>
      </c>
      <c r="L165" s="645">
        <f t="shared" ref="L165:N165" si="68">L167+L188+L176</f>
        <v>-492.39699999999999</v>
      </c>
      <c r="M165" s="231">
        <f t="shared" si="68"/>
        <v>0</v>
      </c>
      <c r="N165" s="231">
        <f t="shared" si="68"/>
        <v>0</v>
      </c>
      <c r="O165" s="480">
        <f>O167+O168+O169+O170+O176+O178+O183+O184+O185+O188+O186+O187+O179</f>
        <v>147617.73265000002</v>
      </c>
    </row>
    <row r="166" spans="1:15" ht="47.25" hidden="1" customHeight="1" x14ac:dyDescent="0.3">
      <c r="A166" s="100" t="s">
        <v>483</v>
      </c>
      <c r="B166" s="99" t="s">
        <v>70</v>
      </c>
      <c r="C166" s="67" t="s">
        <v>892</v>
      </c>
      <c r="D166" s="79" t="s">
        <v>137</v>
      </c>
      <c r="E166" s="79" t="s">
        <v>705</v>
      </c>
      <c r="F166" s="381"/>
      <c r="G166" s="231"/>
      <c r="H166" s="231">
        <f t="shared" ref="H166:N166" si="69">H168</f>
        <v>0</v>
      </c>
      <c r="I166" s="231">
        <f t="shared" si="69"/>
        <v>0</v>
      </c>
      <c r="J166" s="231">
        <f t="shared" si="69"/>
        <v>-166.4</v>
      </c>
      <c r="K166" s="231">
        <f t="shared" si="69"/>
        <v>0</v>
      </c>
      <c r="L166" s="231">
        <f t="shared" si="69"/>
        <v>0</v>
      </c>
      <c r="M166" s="231">
        <f t="shared" si="69"/>
        <v>0</v>
      </c>
      <c r="N166" s="231">
        <f t="shared" si="69"/>
        <v>0</v>
      </c>
      <c r="O166" s="277"/>
    </row>
    <row r="167" spans="1:15" ht="31.15" hidden="1" outlineLevel="1" x14ac:dyDescent="0.3">
      <c r="A167" s="37" t="s">
        <v>737</v>
      </c>
      <c r="B167" s="16" t="s">
        <v>76</v>
      </c>
      <c r="C167" s="17"/>
      <c r="D167" s="381"/>
      <c r="E167" s="381"/>
      <c r="F167" s="381"/>
      <c r="G167" s="398">
        <v>72.87</v>
      </c>
      <c r="H167" s="12"/>
      <c r="I167" s="12"/>
      <c r="J167" s="156"/>
      <c r="K167" s="588"/>
      <c r="L167" s="156"/>
      <c r="M167" s="12"/>
      <c r="N167" s="156"/>
      <c r="O167" s="371">
        <f>SUM(G167:N167)</f>
        <v>72.87</v>
      </c>
    </row>
    <row r="168" spans="1:15" ht="31.15" hidden="1" outlineLevel="1" x14ac:dyDescent="0.3">
      <c r="A168" s="37" t="s">
        <v>1027</v>
      </c>
      <c r="B168" s="16" t="s">
        <v>76</v>
      </c>
      <c r="C168" s="17"/>
      <c r="D168" s="381"/>
      <c r="E168" s="381"/>
      <c r="F168" s="381"/>
      <c r="G168" s="358">
        <v>166.4</v>
      </c>
      <c r="H168" s="12"/>
      <c r="I168" s="12"/>
      <c r="J168" s="156">
        <v>-166.4</v>
      </c>
      <c r="K168" s="588"/>
      <c r="L168" s="156"/>
      <c r="M168" s="12"/>
      <c r="N168" s="156"/>
      <c r="O168" s="371">
        <f t="shared" ref="O168:O188" si="70">SUM(G168:N168)</f>
        <v>0</v>
      </c>
    </row>
    <row r="169" spans="1:15" ht="31.15" hidden="1" outlineLevel="1" x14ac:dyDescent="0.3">
      <c r="A169" s="37" t="s">
        <v>1028</v>
      </c>
      <c r="B169" s="16" t="s">
        <v>76</v>
      </c>
      <c r="C169" s="17"/>
      <c r="D169" s="381"/>
      <c r="E169" s="381"/>
      <c r="F169" s="381"/>
      <c r="G169" s="358"/>
      <c r="H169" s="12"/>
      <c r="I169" s="12"/>
      <c r="J169" s="156"/>
      <c r="K169" s="588"/>
      <c r="L169" s="156"/>
      <c r="M169" s="12"/>
      <c r="N169" s="156"/>
      <c r="O169" s="371">
        <f t="shared" si="70"/>
        <v>0</v>
      </c>
    </row>
    <row r="170" spans="1:15" ht="46.9" hidden="1" outlineLevel="1" x14ac:dyDescent="0.3">
      <c r="A170" s="37" t="s">
        <v>1029</v>
      </c>
      <c r="B170" s="16" t="s">
        <v>76</v>
      </c>
      <c r="C170" s="17"/>
      <c r="D170" s="381"/>
      <c r="E170" s="381"/>
      <c r="F170" s="381"/>
      <c r="G170" s="358">
        <v>475</v>
      </c>
      <c r="H170" s="12"/>
      <c r="I170" s="12"/>
      <c r="J170" s="156"/>
      <c r="K170" s="588"/>
      <c r="L170" s="156"/>
      <c r="M170" s="12"/>
      <c r="N170" s="156"/>
      <c r="O170" s="371">
        <f t="shared" si="70"/>
        <v>475</v>
      </c>
    </row>
    <row r="171" spans="1:15" ht="31.9" hidden="1" outlineLevel="1" x14ac:dyDescent="0.35">
      <c r="A171" s="37" t="s">
        <v>823</v>
      </c>
      <c r="B171" s="36" t="s">
        <v>49</v>
      </c>
      <c r="C171" s="18"/>
      <c r="D171" s="38"/>
      <c r="E171" s="38"/>
      <c r="F171" s="38"/>
      <c r="G171" s="358">
        <v>107722</v>
      </c>
      <c r="H171" s="165">
        <v>12734</v>
      </c>
      <c r="I171" s="165"/>
      <c r="J171" s="166"/>
      <c r="K171" s="442"/>
      <c r="L171" s="166"/>
      <c r="M171" s="165"/>
      <c r="N171" s="166"/>
      <c r="O171" s="371">
        <f t="shared" si="70"/>
        <v>120456</v>
      </c>
    </row>
    <row r="172" spans="1:15" ht="94.15" hidden="1" outlineLevel="1" x14ac:dyDescent="0.35">
      <c r="A172" s="275" t="s">
        <v>1011</v>
      </c>
      <c r="B172" s="36" t="s">
        <v>22</v>
      </c>
      <c r="C172" s="18"/>
      <c r="D172" s="38"/>
      <c r="E172" s="38"/>
      <c r="F172" s="38"/>
      <c r="G172" s="358">
        <v>1200</v>
      </c>
      <c r="H172" s="251"/>
      <c r="I172" s="251"/>
      <c r="J172" s="166"/>
      <c r="K172" s="632"/>
      <c r="L172" s="166"/>
      <c r="M172" s="251"/>
      <c r="N172" s="166"/>
      <c r="O172" s="371">
        <f t="shared" si="70"/>
        <v>1200</v>
      </c>
    </row>
    <row r="173" spans="1:15" ht="47.45" hidden="1" outlineLevel="1" x14ac:dyDescent="0.35">
      <c r="A173" s="37" t="s">
        <v>738</v>
      </c>
      <c r="B173" s="36" t="s">
        <v>22</v>
      </c>
      <c r="C173" s="18"/>
      <c r="D173" s="38" t="s">
        <v>137</v>
      </c>
      <c r="E173" s="38" t="s">
        <v>705</v>
      </c>
      <c r="F173" s="125"/>
      <c r="G173" s="398">
        <v>831.08</v>
      </c>
      <c r="H173" s="165"/>
      <c r="I173" s="165"/>
      <c r="J173" s="166"/>
      <c r="K173" s="442"/>
      <c r="L173" s="166"/>
      <c r="M173" s="165"/>
      <c r="N173" s="166"/>
      <c r="O173" s="371">
        <f t="shared" si="70"/>
        <v>831.08</v>
      </c>
    </row>
    <row r="174" spans="1:15" ht="31.9" hidden="1" outlineLevel="1" x14ac:dyDescent="0.35">
      <c r="A174" s="37" t="s">
        <v>484</v>
      </c>
      <c r="B174" s="36" t="s">
        <v>49</v>
      </c>
      <c r="C174" s="18"/>
      <c r="D174" s="38" t="s">
        <v>137</v>
      </c>
      <c r="E174" s="38" t="s">
        <v>705</v>
      </c>
      <c r="F174" s="38"/>
      <c r="G174" s="358"/>
      <c r="H174" s="165"/>
      <c r="I174" s="165"/>
      <c r="J174" s="166"/>
      <c r="K174" s="442"/>
      <c r="L174" s="166"/>
      <c r="M174" s="165"/>
      <c r="N174" s="166"/>
      <c r="O174" s="371">
        <f t="shared" si="70"/>
        <v>0</v>
      </c>
    </row>
    <row r="175" spans="1:15" s="114" customFormat="1" ht="31.9" hidden="1" outlineLevel="1" x14ac:dyDescent="0.35">
      <c r="A175" s="37" t="s">
        <v>484</v>
      </c>
      <c r="B175" s="36" t="s">
        <v>22</v>
      </c>
      <c r="C175" s="18"/>
      <c r="D175" s="38"/>
      <c r="E175" s="38"/>
      <c r="F175" s="38"/>
      <c r="G175" s="358"/>
      <c r="H175" s="21"/>
      <c r="I175" s="21"/>
      <c r="J175" s="166"/>
      <c r="K175" s="633"/>
      <c r="L175" s="166"/>
      <c r="M175" s="21"/>
      <c r="N175" s="166"/>
      <c r="O175" s="371">
        <f t="shared" si="70"/>
        <v>0</v>
      </c>
    </row>
    <row r="176" spans="1:15" s="115" customFormat="1" ht="31.9" hidden="1" outlineLevel="1" x14ac:dyDescent="0.35">
      <c r="A176" s="37" t="s">
        <v>484</v>
      </c>
      <c r="B176" s="36" t="s">
        <v>76</v>
      </c>
      <c r="C176" s="18"/>
      <c r="D176" s="38" t="s">
        <v>137</v>
      </c>
      <c r="E176" s="38" t="s">
        <v>705</v>
      </c>
      <c r="F176" s="38"/>
      <c r="G176" s="358"/>
      <c r="H176" s="165"/>
      <c r="I176" s="165"/>
      <c r="J176" s="166">
        <v>2257.2600000000002</v>
      </c>
      <c r="K176" s="442"/>
      <c r="L176" s="166">
        <v>-492.39699999999999</v>
      </c>
      <c r="M176" s="165"/>
      <c r="N176" s="166"/>
      <c r="O176" s="371">
        <f t="shared" si="70"/>
        <v>1764.8630000000003</v>
      </c>
    </row>
    <row r="177" spans="1:15" s="114" customFormat="1" ht="16.149999999999999" hidden="1" outlineLevel="1" x14ac:dyDescent="0.35">
      <c r="A177" s="37" t="s">
        <v>739</v>
      </c>
      <c r="B177" s="36" t="s">
        <v>49</v>
      </c>
      <c r="C177" s="18"/>
      <c r="D177" s="38" t="s">
        <v>137</v>
      </c>
      <c r="E177" s="38" t="s">
        <v>705</v>
      </c>
      <c r="F177" s="21"/>
      <c r="G177" s="358"/>
      <c r="H177" s="165"/>
      <c r="I177" s="165"/>
      <c r="J177" s="166"/>
      <c r="K177" s="442"/>
      <c r="L177" s="166"/>
      <c r="M177" s="165"/>
      <c r="N177" s="166"/>
      <c r="O177" s="371">
        <f t="shared" si="70"/>
        <v>0</v>
      </c>
    </row>
    <row r="178" spans="1:15" s="115" customFormat="1" ht="47.45" hidden="1" outlineLevel="1" x14ac:dyDescent="0.35">
      <c r="A178" s="37" t="s">
        <v>1226</v>
      </c>
      <c r="B178" s="36" t="s">
        <v>76</v>
      </c>
      <c r="C178" s="18"/>
      <c r="D178" s="38" t="s">
        <v>137</v>
      </c>
      <c r="E178" s="38" t="s">
        <v>705</v>
      </c>
      <c r="F178" s="38"/>
      <c r="G178" s="358">
        <v>98268.6</v>
      </c>
      <c r="H178" s="21"/>
      <c r="I178" s="21"/>
      <c r="J178" s="166"/>
      <c r="K178" s="633"/>
      <c r="L178" s="166"/>
      <c r="M178" s="21"/>
      <c r="N178" s="166"/>
      <c r="O178" s="371">
        <f>SUM(G178:N178)</f>
        <v>98268.6</v>
      </c>
    </row>
    <row r="179" spans="1:15" s="115" customFormat="1" ht="94.15" hidden="1" outlineLevel="1" x14ac:dyDescent="0.35">
      <c r="A179" s="37" t="s">
        <v>1033</v>
      </c>
      <c r="B179" s="36" t="s">
        <v>76</v>
      </c>
      <c r="C179" s="18"/>
      <c r="D179" s="38"/>
      <c r="E179" s="38"/>
      <c r="F179" s="38"/>
      <c r="G179" s="358"/>
      <c r="H179" s="21"/>
      <c r="I179" s="21"/>
      <c r="J179" s="166"/>
      <c r="K179" s="633">
        <v>15896.7</v>
      </c>
      <c r="L179" s="166"/>
      <c r="M179" s="21"/>
      <c r="N179" s="166"/>
      <c r="O179" s="371">
        <f>SUM(G179:N179)</f>
        <v>15896.7</v>
      </c>
    </row>
    <row r="180" spans="1:15" s="114" customFormat="1" ht="78.599999999999994" hidden="1" outlineLevel="1" x14ac:dyDescent="0.35">
      <c r="A180" s="37" t="s">
        <v>740</v>
      </c>
      <c r="B180" s="36" t="s">
        <v>22</v>
      </c>
      <c r="C180" s="18"/>
      <c r="D180" s="38" t="s">
        <v>137</v>
      </c>
      <c r="E180" s="38" t="s">
        <v>705</v>
      </c>
      <c r="F180" s="38"/>
      <c r="G180" s="358">
        <v>9382.4</v>
      </c>
      <c r="H180" s="165">
        <v>4003</v>
      </c>
      <c r="I180" s="165"/>
      <c r="J180" s="166"/>
      <c r="K180" s="442">
        <v>-2247.1999999999998</v>
      </c>
      <c r="L180" s="166"/>
      <c r="M180" s="165"/>
      <c r="N180" s="166"/>
      <c r="O180" s="371">
        <f>SUM(G180:N180)</f>
        <v>11138.2</v>
      </c>
    </row>
    <row r="181" spans="1:15" s="114" customFormat="1" ht="47.45" hidden="1" outlineLevel="1" x14ac:dyDescent="0.35">
      <c r="A181" s="37" t="s">
        <v>1239</v>
      </c>
      <c r="B181" s="36" t="s">
        <v>22</v>
      </c>
      <c r="C181" s="18"/>
      <c r="D181" s="38"/>
      <c r="E181" s="38"/>
      <c r="F181" s="38"/>
      <c r="G181" s="358"/>
      <c r="H181" s="165"/>
      <c r="I181" s="165"/>
      <c r="J181" s="166"/>
      <c r="K181" s="442">
        <v>2959.2</v>
      </c>
      <c r="L181" s="166"/>
      <c r="M181" s="165"/>
      <c r="N181" s="166"/>
      <c r="O181" s="371">
        <f>SUM(G181:N181)</f>
        <v>2959.2</v>
      </c>
    </row>
    <row r="182" spans="1:15" s="114" customFormat="1" ht="47.45" hidden="1" outlineLevel="1" x14ac:dyDescent="0.35">
      <c r="A182" s="438" t="s">
        <v>1171</v>
      </c>
      <c r="B182" s="439" t="s">
        <v>22</v>
      </c>
      <c r="C182" s="440"/>
      <c r="D182" s="441" t="s">
        <v>137</v>
      </c>
      <c r="E182" s="441" t="s">
        <v>705</v>
      </c>
      <c r="F182" s="38"/>
      <c r="G182" s="398"/>
      <c r="H182" s="442"/>
      <c r="I182" s="442"/>
      <c r="J182" s="590">
        <v>6700</v>
      </c>
      <c r="K182" s="442">
        <v>-712</v>
      </c>
      <c r="L182" s="166"/>
      <c r="M182" s="165"/>
      <c r="N182" s="166"/>
      <c r="O182" s="371">
        <f t="shared" si="70"/>
        <v>5988</v>
      </c>
    </row>
    <row r="183" spans="1:15" s="115" customFormat="1" ht="47.45" hidden="1" outlineLevel="1" x14ac:dyDescent="0.35">
      <c r="A183" s="438" t="s">
        <v>1171</v>
      </c>
      <c r="B183" s="439" t="s">
        <v>76</v>
      </c>
      <c r="C183" s="440"/>
      <c r="D183" s="441" t="s">
        <v>137</v>
      </c>
      <c r="E183" s="441" t="s">
        <v>705</v>
      </c>
      <c r="F183" s="441"/>
      <c r="G183" s="398"/>
      <c r="H183" s="442">
        <v>6700</v>
      </c>
      <c r="I183" s="442"/>
      <c r="J183" s="590">
        <v>-6700</v>
      </c>
      <c r="K183" s="442"/>
      <c r="L183" s="166"/>
      <c r="M183" s="165"/>
      <c r="N183" s="166"/>
      <c r="O183" s="371">
        <f t="shared" si="70"/>
        <v>0</v>
      </c>
    </row>
    <row r="184" spans="1:15" ht="47.45" hidden="1" outlineLevel="1" x14ac:dyDescent="0.35">
      <c r="A184" s="438" t="s">
        <v>1172</v>
      </c>
      <c r="B184" s="439" t="s">
        <v>76</v>
      </c>
      <c r="C184" s="440"/>
      <c r="D184" s="441" t="s">
        <v>137</v>
      </c>
      <c r="E184" s="441" t="s">
        <v>705</v>
      </c>
      <c r="F184" s="441"/>
      <c r="G184" s="398"/>
      <c r="H184" s="442">
        <v>3961.4</v>
      </c>
      <c r="I184" s="165"/>
      <c r="J184" s="166"/>
      <c r="K184" s="442"/>
      <c r="L184" s="166"/>
      <c r="M184" s="165"/>
      <c r="N184" s="166"/>
      <c r="O184" s="371">
        <f t="shared" si="70"/>
        <v>3961.4</v>
      </c>
    </row>
    <row r="185" spans="1:15" s="115" customFormat="1" ht="78.599999999999994" hidden="1" outlineLevel="1" x14ac:dyDescent="0.35">
      <c r="A185" s="438" t="s">
        <v>1173</v>
      </c>
      <c r="B185" s="439" t="s">
        <v>76</v>
      </c>
      <c r="C185" s="440"/>
      <c r="D185" s="441" t="s">
        <v>137</v>
      </c>
      <c r="E185" s="441" t="s">
        <v>705</v>
      </c>
      <c r="F185" s="441"/>
      <c r="G185" s="398"/>
      <c r="H185" s="442">
        <v>23942.7</v>
      </c>
      <c r="I185" s="165"/>
      <c r="J185" s="166"/>
      <c r="K185" s="442"/>
      <c r="L185" s="166"/>
      <c r="M185" s="165"/>
      <c r="N185" s="166"/>
      <c r="O185" s="371">
        <f t="shared" si="70"/>
        <v>23942.7</v>
      </c>
    </row>
    <row r="186" spans="1:15" s="115" customFormat="1" ht="31.9" hidden="1" outlineLevel="1" x14ac:dyDescent="0.35">
      <c r="A186" s="438" t="s">
        <v>1224</v>
      </c>
      <c r="B186" s="439" t="s">
        <v>76</v>
      </c>
      <c r="C186" s="440"/>
      <c r="D186" s="441"/>
      <c r="E186" s="441"/>
      <c r="F186" s="441"/>
      <c r="G186" s="398"/>
      <c r="H186" s="442"/>
      <c r="I186" s="165"/>
      <c r="J186" s="166"/>
      <c r="K186" s="442">
        <v>288</v>
      </c>
      <c r="L186" s="166"/>
      <c r="M186" s="165"/>
      <c r="N186" s="166"/>
      <c r="O186" s="371">
        <f>K186+L186+M186</f>
        <v>288</v>
      </c>
    </row>
    <row r="187" spans="1:15" s="115" customFormat="1" ht="31.9" hidden="1" outlineLevel="1" x14ac:dyDescent="0.35">
      <c r="A187" s="438" t="s">
        <v>1225</v>
      </c>
      <c r="B187" s="439" t="s">
        <v>76</v>
      </c>
      <c r="C187" s="440"/>
      <c r="D187" s="441"/>
      <c r="E187" s="441"/>
      <c r="F187" s="441"/>
      <c r="G187" s="398"/>
      <c r="H187" s="442"/>
      <c r="I187" s="165"/>
      <c r="J187" s="166"/>
      <c r="K187" s="442">
        <v>300</v>
      </c>
      <c r="L187" s="166"/>
      <c r="M187" s="165"/>
      <c r="N187" s="166"/>
      <c r="O187" s="371">
        <f>K187+L187+M187</f>
        <v>300</v>
      </c>
    </row>
    <row r="188" spans="1:15" s="114" customFormat="1" ht="31.9" hidden="1" outlineLevel="1" x14ac:dyDescent="0.35">
      <c r="A188" s="37" t="s">
        <v>741</v>
      </c>
      <c r="B188" s="36" t="s">
        <v>76</v>
      </c>
      <c r="C188" s="18"/>
      <c r="D188" s="38" t="s">
        <v>137</v>
      </c>
      <c r="E188" s="38" t="s">
        <v>705</v>
      </c>
      <c r="F188" s="38"/>
      <c r="G188" s="398">
        <v>2647.6</v>
      </c>
      <c r="H188" s="165"/>
      <c r="I188" s="165"/>
      <c r="J188" s="166">
        <v>-3.5E-4</v>
      </c>
      <c r="K188" s="442"/>
      <c r="L188" s="166"/>
      <c r="M188" s="165"/>
      <c r="N188" s="166"/>
      <c r="O188" s="371">
        <f t="shared" si="70"/>
        <v>2647.5996500000001</v>
      </c>
    </row>
    <row r="189" spans="1:15" ht="31.5" collapsed="1" x14ac:dyDescent="0.25">
      <c r="A189" s="83" t="s">
        <v>696</v>
      </c>
      <c r="B189" s="72" t="s">
        <v>9</v>
      </c>
      <c r="C189" s="9" t="s">
        <v>531</v>
      </c>
      <c r="D189" s="75" t="s">
        <v>137</v>
      </c>
      <c r="E189" s="75" t="s">
        <v>705</v>
      </c>
      <c r="F189" s="27"/>
      <c r="G189" s="527">
        <f t="shared" ref="G189:O189" si="71">G190+G207++G209+G211+G213+G223+G221+G219</f>
        <v>226098.3</v>
      </c>
      <c r="H189" s="527">
        <f t="shared" si="71"/>
        <v>20747.7</v>
      </c>
      <c r="I189" s="230">
        <f t="shared" si="71"/>
        <v>0</v>
      </c>
      <c r="J189" s="527">
        <f t="shared" si="71"/>
        <v>0</v>
      </c>
      <c r="K189" s="233">
        <f t="shared" si="71"/>
        <v>-612.02</v>
      </c>
      <c r="L189" s="644">
        <f t="shared" si="71"/>
        <v>0</v>
      </c>
      <c r="M189" s="230">
        <f t="shared" si="71"/>
        <v>0</v>
      </c>
      <c r="N189" s="230">
        <f t="shared" si="71"/>
        <v>0</v>
      </c>
      <c r="O189" s="592">
        <f t="shared" si="71"/>
        <v>246233.97999999998</v>
      </c>
    </row>
    <row r="190" spans="1:15" ht="31.5" x14ac:dyDescent="0.25">
      <c r="A190" s="83" t="s">
        <v>339</v>
      </c>
      <c r="B190" s="72" t="s">
        <v>9</v>
      </c>
      <c r="C190" s="9" t="s">
        <v>532</v>
      </c>
      <c r="D190" s="75" t="s">
        <v>137</v>
      </c>
      <c r="E190" s="75" t="s">
        <v>705</v>
      </c>
      <c r="F190" s="27"/>
      <c r="G190" s="527">
        <f>SUM(G194:G206)</f>
        <v>19728.399999999998</v>
      </c>
      <c r="H190" s="527">
        <f>SUM(H194:H205)</f>
        <v>368.8</v>
      </c>
      <c r="I190" s="230">
        <f t="shared" ref="I190:N190" si="72">SUM(I194:I205)</f>
        <v>0</v>
      </c>
      <c r="J190" s="527">
        <f t="shared" si="72"/>
        <v>0</v>
      </c>
      <c r="K190" s="233">
        <f t="shared" si="72"/>
        <v>64</v>
      </c>
      <c r="L190" s="644">
        <f t="shared" si="72"/>
        <v>0</v>
      </c>
      <c r="M190" s="230">
        <f t="shared" si="72"/>
        <v>0</v>
      </c>
      <c r="N190" s="230">
        <f t="shared" si="72"/>
        <v>0</v>
      </c>
      <c r="O190" s="592">
        <f>SUM(O194:O206)</f>
        <v>20161.199999999997</v>
      </c>
    </row>
    <row r="191" spans="1:15" ht="31.5" x14ac:dyDescent="0.25">
      <c r="A191" s="100" t="s">
        <v>339</v>
      </c>
      <c r="B191" s="99" t="s">
        <v>22</v>
      </c>
      <c r="C191" s="67" t="s">
        <v>533</v>
      </c>
      <c r="D191" s="79" t="s">
        <v>137</v>
      </c>
      <c r="E191" s="79" t="s">
        <v>705</v>
      </c>
      <c r="F191" s="381"/>
      <c r="G191" s="528">
        <f>G194+G195+G197</f>
        <v>9114</v>
      </c>
      <c r="H191" s="528">
        <f>H194+H195+H197</f>
        <v>368.8</v>
      </c>
      <c r="I191" s="231">
        <f t="shared" ref="I191:N191" si="73">I194+I195</f>
        <v>0</v>
      </c>
      <c r="J191" s="528">
        <f t="shared" si="73"/>
        <v>0</v>
      </c>
      <c r="K191" s="234">
        <f t="shared" si="73"/>
        <v>0</v>
      </c>
      <c r="L191" s="645">
        <f t="shared" si="73"/>
        <v>0</v>
      </c>
      <c r="M191" s="231">
        <f t="shared" si="73"/>
        <v>0</v>
      </c>
      <c r="N191" s="231">
        <f t="shared" si="73"/>
        <v>0</v>
      </c>
      <c r="O191" s="480">
        <f>O194+O195+O197</f>
        <v>9482.7999999999993</v>
      </c>
    </row>
    <row r="192" spans="1:15" s="115" customFormat="1" ht="31.5" x14ac:dyDescent="0.25">
      <c r="A192" s="100" t="s">
        <v>339</v>
      </c>
      <c r="B192" s="99" t="s">
        <v>49</v>
      </c>
      <c r="C192" s="67" t="s">
        <v>533</v>
      </c>
      <c r="D192" s="79" t="s">
        <v>137</v>
      </c>
      <c r="E192" s="79" t="s">
        <v>705</v>
      </c>
      <c r="F192" s="381"/>
      <c r="G192" s="528">
        <f>G196+G200</f>
        <v>5466.1</v>
      </c>
      <c r="H192" s="529">
        <f>H196</f>
        <v>0</v>
      </c>
      <c r="I192" s="155"/>
      <c r="J192" s="529">
        <f>J196+J197</f>
        <v>0</v>
      </c>
      <c r="K192" s="629">
        <f>K196+K197</f>
        <v>0</v>
      </c>
      <c r="L192" s="156">
        <f>L196+L197</f>
        <v>0</v>
      </c>
      <c r="M192" s="155"/>
      <c r="N192" s="156"/>
      <c r="O192" s="480">
        <f>O196</f>
        <v>5466</v>
      </c>
    </row>
    <row r="193" spans="1:15" s="115" customFormat="1" ht="42" customHeight="1" x14ac:dyDescent="0.25">
      <c r="A193" s="100" t="s">
        <v>339</v>
      </c>
      <c r="B193" s="99" t="s">
        <v>76</v>
      </c>
      <c r="C193" s="67" t="s">
        <v>533</v>
      </c>
      <c r="D193" s="79" t="s">
        <v>137</v>
      </c>
      <c r="E193" s="79" t="s">
        <v>705</v>
      </c>
      <c r="F193" s="381"/>
      <c r="G193" s="528">
        <f>G198+G199+G201+G202+G203+G205+G206</f>
        <v>5148.3</v>
      </c>
      <c r="H193" s="529">
        <f>H198+H199+H200+H201+H202+H203+H204+H205</f>
        <v>0</v>
      </c>
      <c r="I193" s="155"/>
      <c r="J193" s="529">
        <f>J198+J199+J200+J201+J202+J203+J204+J205</f>
        <v>0</v>
      </c>
      <c r="K193" s="629">
        <f>K198+K199+K200+K201+K202+K203+K204+K205</f>
        <v>64</v>
      </c>
      <c r="L193" s="156">
        <f>L198+L199+L200+L201+L202+L203+L204+L205</f>
        <v>0</v>
      </c>
      <c r="M193" s="155"/>
      <c r="N193" s="156"/>
      <c r="O193" s="480">
        <f>O198+O199+O200+O201+O202+O203+O204+O205+O206</f>
        <v>5212.3999999999996</v>
      </c>
    </row>
    <row r="194" spans="1:15" s="115" customFormat="1" ht="79.5" hidden="1" customHeight="1" outlineLevel="1" x14ac:dyDescent="0.3">
      <c r="A194" s="39" t="s">
        <v>742</v>
      </c>
      <c r="B194" s="15" t="s">
        <v>22</v>
      </c>
      <c r="C194" s="20"/>
      <c r="D194" s="381" t="s">
        <v>137</v>
      </c>
      <c r="E194" s="381" t="s">
        <v>705</v>
      </c>
      <c r="F194" s="381"/>
      <c r="G194" s="357">
        <v>9114</v>
      </c>
      <c r="H194" s="155"/>
      <c r="I194" s="155"/>
      <c r="J194" s="155"/>
      <c r="K194" s="629"/>
      <c r="L194" s="156"/>
      <c r="M194" s="155"/>
      <c r="N194" s="156"/>
      <c r="O194" s="371">
        <f>SUM(G194:N194)</f>
        <v>9114</v>
      </c>
    </row>
    <row r="195" spans="1:15" s="115" customFormat="1" ht="48.75" hidden="1" customHeight="1" outlineLevel="1" x14ac:dyDescent="0.3">
      <c r="A195" s="37" t="s">
        <v>835</v>
      </c>
      <c r="B195" s="15" t="s">
        <v>22</v>
      </c>
      <c r="C195" s="20"/>
      <c r="D195" s="381" t="s">
        <v>137</v>
      </c>
      <c r="E195" s="381" t="s">
        <v>705</v>
      </c>
      <c r="F195" s="381"/>
      <c r="G195" s="357"/>
      <c r="H195" s="155"/>
      <c r="I195" s="155"/>
      <c r="J195" s="155"/>
      <c r="K195" s="629"/>
      <c r="L195" s="156"/>
      <c r="M195" s="155"/>
      <c r="N195" s="156"/>
      <c r="O195" s="371">
        <f t="shared" ref="O195:O206" si="74">SUM(G195:N195)</f>
        <v>0</v>
      </c>
    </row>
    <row r="196" spans="1:15" s="115" customFormat="1" ht="44.25" hidden="1" customHeight="1" outlineLevel="1" x14ac:dyDescent="0.3">
      <c r="A196" s="40" t="s">
        <v>535</v>
      </c>
      <c r="B196" s="15" t="s">
        <v>49</v>
      </c>
      <c r="C196" s="20"/>
      <c r="D196" s="381" t="s">
        <v>137</v>
      </c>
      <c r="E196" s="381" t="s">
        <v>705</v>
      </c>
      <c r="F196" s="381"/>
      <c r="G196" s="357">
        <v>5466</v>
      </c>
      <c r="H196" s="155"/>
      <c r="I196" s="155"/>
      <c r="J196" s="155"/>
      <c r="K196" s="629"/>
      <c r="L196" s="156"/>
      <c r="M196" s="155"/>
      <c r="N196" s="156"/>
      <c r="O196" s="371">
        <f t="shared" si="74"/>
        <v>5466</v>
      </c>
    </row>
    <row r="197" spans="1:15" ht="70.5" hidden="1" customHeight="1" outlineLevel="1" x14ac:dyDescent="0.3">
      <c r="A197" s="37" t="s">
        <v>835</v>
      </c>
      <c r="B197" s="15" t="s">
        <v>22</v>
      </c>
      <c r="C197" s="17"/>
      <c r="D197" s="381" t="s">
        <v>137</v>
      </c>
      <c r="E197" s="381" t="s">
        <v>705</v>
      </c>
      <c r="F197" s="381"/>
      <c r="G197" s="357"/>
      <c r="H197" s="155">
        <v>368.8</v>
      </c>
      <c r="I197" s="155"/>
      <c r="J197" s="155"/>
      <c r="K197" s="629"/>
      <c r="L197" s="156"/>
      <c r="M197" s="155"/>
      <c r="N197" s="156"/>
      <c r="O197" s="371">
        <f t="shared" si="74"/>
        <v>368.8</v>
      </c>
    </row>
    <row r="198" spans="1:15" s="118" customFormat="1" ht="99" hidden="1" customHeight="1" outlineLevel="1" x14ac:dyDescent="0.3">
      <c r="A198" s="39" t="s">
        <v>537</v>
      </c>
      <c r="B198" s="15">
        <v>936</v>
      </c>
      <c r="C198" s="22"/>
      <c r="D198" s="381" t="s">
        <v>137</v>
      </c>
      <c r="E198" s="381" t="s">
        <v>705</v>
      </c>
      <c r="F198" s="381"/>
      <c r="G198" s="357">
        <v>1267</v>
      </c>
      <c r="H198" s="155"/>
      <c r="I198" s="155"/>
      <c r="J198" s="155"/>
      <c r="K198" s="629"/>
      <c r="L198" s="156"/>
      <c r="M198" s="155"/>
      <c r="N198" s="170"/>
      <c r="O198" s="371">
        <f t="shared" si="74"/>
        <v>1267</v>
      </c>
    </row>
    <row r="199" spans="1:15" s="118" customFormat="1" ht="95.45" hidden="1" outlineLevel="1" x14ac:dyDescent="0.3">
      <c r="A199" s="39" t="s">
        <v>743</v>
      </c>
      <c r="B199" s="15" t="s">
        <v>76</v>
      </c>
      <c r="C199" s="17"/>
      <c r="D199" s="381" t="s">
        <v>137</v>
      </c>
      <c r="E199" s="381" t="s">
        <v>705</v>
      </c>
      <c r="F199" s="381"/>
      <c r="G199" s="357">
        <v>575</v>
      </c>
      <c r="H199" s="155"/>
      <c r="I199" s="155"/>
      <c r="J199" s="155"/>
      <c r="K199" s="629">
        <v>64</v>
      </c>
      <c r="L199" s="156"/>
      <c r="M199" s="155"/>
      <c r="N199" s="170"/>
      <c r="O199" s="371">
        <f t="shared" si="74"/>
        <v>639</v>
      </c>
    </row>
    <row r="200" spans="1:15" ht="47.45" hidden="1" outlineLevel="1" x14ac:dyDescent="0.35">
      <c r="A200" s="37" t="s">
        <v>744</v>
      </c>
      <c r="B200" s="15" t="s">
        <v>76</v>
      </c>
      <c r="C200" s="117"/>
      <c r="D200" s="381" t="s">
        <v>137</v>
      </c>
      <c r="E200" s="381" t="s">
        <v>705</v>
      </c>
      <c r="F200" s="381"/>
      <c r="G200" s="357">
        <v>0.1</v>
      </c>
      <c r="H200" s="12"/>
      <c r="I200" s="12"/>
      <c r="J200" s="12"/>
      <c r="K200" s="588"/>
      <c r="L200" s="156"/>
      <c r="M200" s="12"/>
      <c r="N200" s="156"/>
      <c r="O200" s="371">
        <f t="shared" si="74"/>
        <v>0.1</v>
      </c>
    </row>
    <row r="201" spans="1:15" ht="109.15" hidden="1" outlineLevel="1" x14ac:dyDescent="0.3">
      <c r="A201" s="39" t="s">
        <v>539</v>
      </c>
      <c r="B201" s="15">
        <v>936</v>
      </c>
      <c r="C201" s="22"/>
      <c r="D201" s="381" t="s">
        <v>137</v>
      </c>
      <c r="E201" s="381" t="s">
        <v>705</v>
      </c>
      <c r="F201" s="381"/>
      <c r="G201" s="357">
        <v>122.3</v>
      </c>
      <c r="H201" s="155"/>
      <c r="I201" s="155"/>
      <c r="J201" s="155"/>
      <c r="K201" s="629"/>
      <c r="L201" s="156"/>
      <c r="M201" s="155"/>
      <c r="N201" s="156"/>
      <c r="O201" s="371">
        <f t="shared" si="74"/>
        <v>122.3</v>
      </c>
    </row>
    <row r="202" spans="1:15" ht="48" hidden="1" outlineLevel="1" x14ac:dyDescent="0.35">
      <c r="A202" s="37" t="s">
        <v>745</v>
      </c>
      <c r="B202" s="15" t="s">
        <v>76</v>
      </c>
      <c r="C202" s="20"/>
      <c r="D202" s="381" t="s">
        <v>137</v>
      </c>
      <c r="E202" s="381" t="s">
        <v>705</v>
      </c>
      <c r="F202" s="381"/>
      <c r="G202" s="357">
        <v>2084</v>
      </c>
      <c r="H202" s="155"/>
      <c r="I202" s="155"/>
      <c r="J202" s="155"/>
      <c r="K202" s="629"/>
      <c r="L202" s="156"/>
      <c r="M202" s="155"/>
      <c r="N202" s="170"/>
      <c r="O202" s="371">
        <f t="shared" si="74"/>
        <v>2084</v>
      </c>
    </row>
    <row r="203" spans="1:15" ht="47.45" hidden="1" outlineLevel="1" x14ac:dyDescent="0.3">
      <c r="A203" s="37" t="s">
        <v>746</v>
      </c>
      <c r="B203" s="15" t="s">
        <v>76</v>
      </c>
      <c r="C203" s="20"/>
      <c r="D203" s="381" t="s">
        <v>137</v>
      </c>
      <c r="E203" s="381" t="s">
        <v>705</v>
      </c>
      <c r="F203" s="381"/>
      <c r="G203" s="357"/>
      <c r="H203" s="155"/>
      <c r="I203" s="155"/>
      <c r="J203" s="155"/>
      <c r="K203" s="629"/>
      <c r="L203" s="156"/>
      <c r="M203" s="155"/>
      <c r="N203" s="156"/>
      <c r="O203" s="371">
        <f t="shared" si="74"/>
        <v>0</v>
      </c>
    </row>
    <row r="204" spans="1:15" s="114" customFormat="1" ht="50.25" hidden="1" customHeight="1" outlineLevel="1" x14ac:dyDescent="0.3">
      <c r="A204" s="37" t="s">
        <v>541</v>
      </c>
      <c r="B204" s="15" t="s">
        <v>76</v>
      </c>
      <c r="C204" s="20"/>
      <c r="D204" s="381" t="s">
        <v>137</v>
      </c>
      <c r="E204" s="381" t="s">
        <v>705</v>
      </c>
      <c r="F204" s="381"/>
      <c r="G204" s="357"/>
      <c r="H204" s="12"/>
      <c r="I204" s="12"/>
      <c r="J204" s="12"/>
      <c r="K204" s="588"/>
      <c r="L204" s="156"/>
      <c r="M204" s="12"/>
      <c r="N204" s="156"/>
      <c r="O204" s="371">
        <f t="shared" si="74"/>
        <v>0</v>
      </c>
    </row>
    <row r="205" spans="1:15" s="114" customFormat="1" ht="62.45" hidden="1" outlineLevel="1" x14ac:dyDescent="0.3">
      <c r="A205" s="40" t="s">
        <v>342</v>
      </c>
      <c r="B205" s="15" t="s">
        <v>76</v>
      </c>
      <c r="C205" s="20"/>
      <c r="D205" s="381" t="s">
        <v>137</v>
      </c>
      <c r="E205" s="381" t="s">
        <v>705</v>
      </c>
      <c r="F205" s="381" t="s">
        <v>511</v>
      </c>
      <c r="G205" s="357"/>
      <c r="H205" s="155"/>
      <c r="I205" s="155"/>
      <c r="J205" s="155"/>
      <c r="K205" s="629"/>
      <c r="L205" s="156"/>
      <c r="M205" s="155"/>
      <c r="N205" s="156"/>
      <c r="O205" s="371">
        <f t="shared" si="74"/>
        <v>0</v>
      </c>
    </row>
    <row r="206" spans="1:15" s="114" customFormat="1" ht="46.9" hidden="1" outlineLevel="1" x14ac:dyDescent="0.3">
      <c r="A206" s="40" t="s">
        <v>834</v>
      </c>
      <c r="B206" s="15" t="s">
        <v>76</v>
      </c>
      <c r="C206" s="20"/>
      <c r="D206" s="381" t="s">
        <v>137</v>
      </c>
      <c r="E206" s="381" t="s">
        <v>705</v>
      </c>
      <c r="F206" s="381"/>
      <c r="G206" s="357">
        <v>1100</v>
      </c>
      <c r="H206" s="155"/>
      <c r="I206" s="155"/>
      <c r="J206" s="155"/>
      <c r="K206" s="629"/>
      <c r="L206" s="156"/>
      <c r="M206" s="155"/>
      <c r="N206" s="156"/>
      <c r="O206" s="371">
        <f t="shared" si="74"/>
        <v>1100</v>
      </c>
    </row>
    <row r="207" spans="1:15" ht="54.75" customHeight="1" collapsed="1" x14ac:dyDescent="0.25">
      <c r="A207" s="83" t="s">
        <v>487</v>
      </c>
      <c r="B207" s="72" t="s">
        <v>9</v>
      </c>
      <c r="C207" s="9" t="s">
        <v>542</v>
      </c>
      <c r="D207" s="75" t="s">
        <v>137</v>
      </c>
      <c r="E207" s="75" t="s">
        <v>705</v>
      </c>
      <c r="F207" s="27"/>
      <c r="G207" s="527">
        <f>G208</f>
        <v>9257</v>
      </c>
      <c r="H207" s="527">
        <f t="shared" ref="H207:O207" si="75">H208</f>
        <v>0</v>
      </c>
      <c r="I207" s="230">
        <f t="shared" si="75"/>
        <v>0</v>
      </c>
      <c r="J207" s="527">
        <f t="shared" si="75"/>
        <v>0</v>
      </c>
      <c r="K207" s="233">
        <f t="shared" si="75"/>
        <v>-500</v>
      </c>
      <c r="L207" s="644">
        <f t="shared" si="75"/>
        <v>0</v>
      </c>
      <c r="M207" s="230">
        <f t="shared" si="75"/>
        <v>0</v>
      </c>
      <c r="N207" s="230">
        <f t="shared" si="75"/>
        <v>0</v>
      </c>
      <c r="O207" s="592">
        <f t="shared" si="75"/>
        <v>8757</v>
      </c>
    </row>
    <row r="208" spans="1:15" ht="47.25" x14ac:dyDescent="0.25">
      <c r="A208" s="100" t="s">
        <v>487</v>
      </c>
      <c r="B208" s="99" t="s">
        <v>76</v>
      </c>
      <c r="C208" s="67" t="s">
        <v>542</v>
      </c>
      <c r="D208" s="79" t="s">
        <v>137</v>
      </c>
      <c r="E208" s="79" t="s">
        <v>705</v>
      </c>
      <c r="F208" s="381"/>
      <c r="G208" s="528">
        <v>9257</v>
      </c>
      <c r="H208" s="529"/>
      <c r="I208" s="155"/>
      <c r="J208" s="529"/>
      <c r="K208" s="629">
        <v>-500</v>
      </c>
      <c r="L208" s="156"/>
      <c r="M208" s="155"/>
      <c r="N208" s="170"/>
      <c r="O208" s="480">
        <f>SUM(G208:N208)</f>
        <v>8757</v>
      </c>
    </row>
    <row r="209" spans="1:15" ht="63" x14ac:dyDescent="0.25">
      <c r="A209" s="83" t="s">
        <v>704</v>
      </c>
      <c r="B209" s="72" t="s">
        <v>9</v>
      </c>
      <c r="C209" s="9" t="s">
        <v>543</v>
      </c>
      <c r="D209" s="75" t="s">
        <v>137</v>
      </c>
      <c r="E209" s="75" t="s">
        <v>705</v>
      </c>
      <c r="F209" s="27"/>
      <c r="G209" s="527">
        <f>G210</f>
        <v>2054.6999999999998</v>
      </c>
      <c r="H209" s="527">
        <f t="shared" ref="H209:N209" si="76">H210</f>
        <v>0</v>
      </c>
      <c r="I209" s="230">
        <f t="shared" si="76"/>
        <v>0</v>
      </c>
      <c r="J209" s="527">
        <f t="shared" si="76"/>
        <v>0</v>
      </c>
      <c r="K209" s="233">
        <f t="shared" si="76"/>
        <v>0</v>
      </c>
      <c r="L209" s="644">
        <f t="shared" si="76"/>
        <v>0</v>
      </c>
      <c r="M209" s="230">
        <f t="shared" si="76"/>
        <v>0</v>
      </c>
      <c r="N209" s="230">
        <f t="shared" si="76"/>
        <v>0</v>
      </c>
      <c r="O209" s="592">
        <f>O210</f>
        <v>2054.6999999999998</v>
      </c>
    </row>
    <row r="210" spans="1:15" ht="75.75" customHeight="1" x14ac:dyDescent="0.25">
      <c r="A210" s="100" t="s">
        <v>704</v>
      </c>
      <c r="B210" s="99" t="s">
        <v>22</v>
      </c>
      <c r="C210" s="67" t="s">
        <v>543</v>
      </c>
      <c r="D210" s="79" t="s">
        <v>137</v>
      </c>
      <c r="E210" s="79" t="s">
        <v>705</v>
      </c>
      <c r="F210" s="381"/>
      <c r="G210" s="528">
        <v>2054.6999999999998</v>
      </c>
      <c r="H210" s="529"/>
      <c r="I210" s="155"/>
      <c r="J210" s="529"/>
      <c r="K210" s="629"/>
      <c r="L210" s="156"/>
      <c r="M210" s="155"/>
      <c r="N210" s="170"/>
      <c r="O210" s="480">
        <f>SUM(G210:N210)</f>
        <v>2054.6999999999998</v>
      </c>
    </row>
    <row r="211" spans="1:15" s="116" customFormat="1" ht="66.75" customHeight="1" x14ac:dyDescent="0.25">
      <c r="A211" s="252" t="s">
        <v>361</v>
      </c>
      <c r="B211" s="253" t="s">
        <v>9</v>
      </c>
      <c r="C211" s="9" t="s">
        <v>546</v>
      </c>
      <c r="D211" s="75" t="s">
        <v>137</v>
      </c>
      <c r="E211" s="75" t="s">
        <v>705</v>
      </c>
      <c r="F211" s="27"/>
      <c r="G211" s="527">
        <f>G212</f>
        <v>9217.5</v>
      </c>
      <c r="H211" s="527">
        <f t="shared" ref="H211:O211" si="77">H212</f>
        <v>0.1</v>
      </c>
      <c r="I211" s="230">
        <f t="shared" si="77"/>
        <v>0</v>
      </c>
      <c r="J211" s="527">
        <f t="shared" si="77"/>
        <v>0</v>
      </c>
      <c r="K211" s="233">
        <f t="shared" si="77"/>
        <v>0</v>
      </c>
      <c r="L211" s="644">
        <f t="shared" si="77"/>
        <v>0</v>
      </c>
      <c r="M211" s="230">
        <f t="shared" si="77"/>
        <v>0</v>
      </c>
      <c r="N211" s="230">
        <f t="shared" si="77"/>
        <v>0</v>
      </c>
      <c r="O211" s="592">
        <f t="shared" si="77"/>
        <v>9217.6</v>
      </c>
    </row>
    <row r="212" spans="1:15" s="116" customFormat="1" ht="63" x14ac:dyDescent="0.25">
      <c r="A212" s="100" t="s">
        <v>361</v>
      </c>
      <c r="B212" s="254" t="s">
        <v>76</v>
      </c>
      <c r="C212" s="67" t="s">
        <v>546</v>
      </c>
      <c r="D212" s="79" t="s">
        <v>137</v>
      </c>
      <c r="E212" s="79" t="s">
        <v>705</v>
      </c>
      <c r="F212" s="381"/>
      <c r="G212" s="528">
        <v>9217.5</v>
      </c>
      <c r="H212" s="529">
        <v>0.1</v>
      </c>
      <c r="I212" s="155"/>
      <c r="J212" s="529"/>
      <c r="K212" s="629"/>
      <c r="L212" s="156"/>
      <c r="M212" s="155"/>
      <c r="N212" s="156"/>
      <c r="O212" s="480">
        <f>SUM(G212:N212)</f>
        <v>9217.6</v>
      </c>
    </row>
    <row r="213" spans="1:15" ht="47.25" x14ac:dyDescent="0.25">
      <c r="A213" s="83" t="s">
        <v>694</v>
      </c>
      <c r="B213" s="72" t="s">
        <v>9</v>
      </c>
      <c r="C213" s="9" t="s">
        <v>668</v>
      </c>
      <c r="D213" s="75" t="s">
        <v>335</v>
      </c>
      <c r="E213" s="75" t="s">
        <v>705</v>
      </c>
      <c r="F213" s="27"/>
      <c r="G213" s="527">
        <f>G214</f>
        <v>5.3</v>
      </c>
      <c r="H213" s="527">
        <f t="shared" ref="H213:O213" si="78">H214</f>
        <v>0</v>
      </c>
      <c r="I213" s="230">
        <f t="shared" si="78"/>
        <v>0</v>
      </c>
      <c r="J213" s="527">
        <f t="shared" si="78"/>
        <v>0</v>
      </c>
      <c r="K213" s="233">
        <f t="shared" si="78"/>
        <v>0</v>
      </c>
      <c r="L213" s="644">
        <f t="shared" si="78"/>
        <v>0</v>
      </c>
      <c r="M213" s="230">
        <f t="shared" si="78"/>
        <v>0</v>
      </c>
      <c r="N213" s="230">
        <f t="shared" si="78"/>
        <v>0</v>
      </c>
      <c r="O213" s="592">
        <f t="shared" si="78"/>
        <v>5.3</v>
      </c>
    </row>
    <row r="214" spans="1:15" ht="50.25" customHeight="1" x14ac:dyDescent="0.25">
      <c r="A214" s="100" t="s">
        <v>694</v>
      </c>
      <c r="B214" s="99" t="s">
        <v>76</v>
      </c>
      <c r="C214" s="67" t="s">
        <v>668</v>
      </c>
      <c r="D214" s="79" t="s">
        <v>335</v>
      </c>
      <c r="E214" s="79" t="s">
        <v>705</v>
      </c>
      <c r="F214" s="381"/>
      <c r="G214" s="528">
        <v>5.3</v>
      </c>
      <c r="H214" s="529"/>
      <c r="I214" s="155"/>
      <c r="J214" s="529"/>
      <c r="K214" s="629"/>
      <c r="L214" s="156"/>
      <c r="M214" s="155"/>
      <c r="N214" s="156"/>
      <c r="O214" s="480">
        <f>SUM(G214:N214)</f>
        <v>5.3</v>
      </c>
    </row>
    <row r="215" spans="1:15" s="114" customFormat="1" ht="46.9" hidden="1" x14ac:dyDescent="0.3">
      <c r="A215" s="83" t="s">
        <v>695</v>
      </c>
      <c r="B215" s="72" t="s">
        <v>9</v>
      </c>
      <c r="C215" s="9" t="s">
        <v>548</v>
      </c>
      <c r="D215" s="75" t="s">
        <v>137</v>
      </c>
      <c r="E215" s="75" t="s">
        <v>705</v>
      </c>
      <c r="F215" s="27"/>
      <c r="G215" s="190">
        <f t="shared" ref="G215:N215" si="79">G216</f>
        <v>0</v>
      </c>
      <c r="H215" s="152">
        <f t="shared" si="79"/>
        <v>0</v>
      </c>
      <c r="I215" s="152"/>
      <c r="J215" s="152">
        <f t="shared" si="79"/>
        <v>0</v>
      </c>
      <c r="K215" s="152">
        <f t="shared" si="79"/>
        <v>0</v>
      </c>
      <c r="L215" s="11">
        <f t="shared" si="79"/>
        <v>0</v>
      </c>
      <c r="M215" s="152">
        <f t="shared" si="79"/>
        <v>0</v>
      </c>
      <c r="N215" s="153">
        <f t="shared" si="79"/>
        <v>0</v>
      </c>
      <c r="O215" s="154" t="e">
        <f>O216</f>
        <v>#REF!</v>
      </c>
    </row>
    <row r="216" spans="1:15" s="114" customFormat="1" ht="50.25" hidden="1" customHeight="1" x14ac:dyDescent="0.3">
      <c r="A216" s="100" t="s">
        <v>695</v>
      </c>
      <c r="B216" s="99" t="s">
        <v>76</v>
      </c>
      <c r="C216" s="67" t="s">
        <v>548</v>
      </c>
      <c r="D216" s="79" t="s">
        <v>137</v>
      </c>
      <c r="E216" s="79" t="s">
        <v>705</v>
      </c>
      <c r="F216" s="381"/>
      <c r="G216" s="189"/>
      <c r="H216" s="155"/>
      <c r="I216" s="155"/>
      <c r="J216" s="155"/>
      <c r="K216" s="155"/>
      <c r="L216" s="12"/>
      <c r="M216" s="155"/>
      <c r="N216" s="170"/>
      <c r="O216" s="157" t="e">
        <f>#REF!+N216</f>
        <v>#REF!</v>
      </c>
    </row>
    <row r="217" spans="1:15" s="114" customFormat="1" ht="17.25" hidden="1" customHeight="1" x14ac:dyDescent="0.3">
      <c r="A217" s="14" t="s">
        <v>549</v>
      </c>
      <c r="B217" s="16" t="s">
        <v>9</v>
      </c>
      <c r="C217" s="10" t="s">
        <v>550</v>
      </c>
      <c r="D217" s="27" t="s">
        <v>137</v>
      </c>
      <c r="E217" s="27" t="s">
        <v>334</v>
      </c>
      <c r="F217" s="27"/>
      <c r="G217" s="190">
        <f t="shared" ref="G217:O217" si="80">G218</f>
        <v>0</v>
      </c>
      <c r="H217" s="11">
        <f t="shared" si="80"/>
        <v>0</v>
      </c>
      <c r="I217" s="11"/>
      <c r="J217" s="11">
        <f t="shared" si="80"/>
        <v>0</v>
      </c>
      <c r="K217" s="11">
        <f t="shared" si="80"/>
        <v>0</v>
      </c>
      <c r="L217" s="11">
        <f t="shared" si="80"/>
        <v>0</v>
      </c>
      <c r="M217" s="152">
        <f t="shared" si="80"/>
        <v>0</v>
      </c>
      <c r="N217" s="153">
        <f t="shared" si="80"/>
        <v>0</v>
      </c>
      <c r="O217" s="168" t="e">
        <f t="shared" si="80"/>
        <v>#REF!</v>
      </c>
    </row>
    <row r="218" spans="1:15" ht="46.9" hidden="1" x14ac:dyDescent="0.3">
      <c r="A218" s="19" t="s">
        <v>549</v>
      </c>
      <c r="B218" s="15" t="s">
        <v>76</v>
      </c>
      <c r="C218" s="17" t="s">
        <v>550</v>
      </c>
      <c r="D218" s="381" t="s">
        <v>137</v>
      </c>
      <c r="E218" s="381" t="s">
        <v>334</v>
      </c>
      <c r="F218" s="381"/>
      <c r="G218" s="189">
        <v>0</v>
      </c>
      <c r="H218" s="12"/>
      <c r="I218" s="12"/>
      <c r="J218" s="12"/>
      <c r="K218" s="12"/>
      <c r="L218" s="12"/>
      <c r="M218" s="155"/>
      <c r="N218" s="156"/>
      <c r="O218" s="158" t="e">
        <f>#REF!+N218</f>
        <v>#REF!</v>
      </c>
    </row>
    <row r="219" spans="1:15" ht="31.15" hidden="1" x14ac:dyDescent="0.3">
      <c r="A219" s="14" t="s">
        <v>822</v>
      </c>
      <c r="B219" s="16" t="s">
        <v>9</v>
      </c>
      <c r="C219" s="10" t="s">
        <v>831</v>
      </c>
      <c r="D219" s="27" t="s">
        <v>137</v>
      </c>
      <c r="E219" s="27" t="s">
        <v>705</v>
      </c>
      <c r="F219" s="381"/>
      <c r="G219" s="230">
        <f>G220</f>
        <v>0</v>
      </c>
      <c r="H219" s="230">
        <f t="shared" ref="H219:O219" si="81">H220</f>
        <v>0</v>
      </c>
      <c r="I219" s="230">
        <f t="shared" si="81"/>
        <v>0</v>
      </c>
      <c r="J219" s="230">
        <f t="shared" si="81"/>
        <v>0</v>
      </c>
      <c r="K219" s="230">
        <f t="shared" si="81"/>
        <v>0</v>
      </c>
      <c r="L219" s="230">
        <f t="shared" si="81"/>
        <v>0</v>
      </c>
      <c r="M219" s="230">
        <f t="shared" si="81"/>
        <v>0</v>
      </c>
      <c r="N219" s="230">
        <f t="shared" si="81"/>
        <v>0</v>
      </c>
      <c r="O219" s="230">
        <f t="shared" si="81"/>
        <v>0</v>
      </c>
    </row>
    <row r="220" spans="1:15" ht="31.15" hidden="1" x14ac:dyDescent="0.3">
      <c r="A220" s="19" t="s">
        <v>830</v>
      </c>
      <c r="B220" s="15" t="s">
        <v>76</v>
      </c>
      <c r="C220" s="17" t="s">
        <v>831</v>
      </c>
      <c r="D220" s="381" t="s">
        <v>137</v>
      </c>
      <c r="E220" s="381" t="s">
        <v>705</v>
      </c>
      <c r="F220" s="381"/>
      <c r="G220" s="231"/>
      <c r="H220" s="12"/>
      <c r="I220" s="12"/>
      <c r="J220" s="12"/>
      <c r="K220" s="12"/>
      <c r="L220" s="12"/>
      <c r="M220" s="155"/>
      <c r="N220" s="156"/>
      <c r="O220" s="157">
        <f>SUM(G220:N220)</f>
        <v>0</v>
      </c>
    </row>
    <row r="221" spans="1:15" ht="46.9" hidden="1" x14ac:dyDescent="0.3">
      <c r="A221" s="14" t="s">
        <v>840</v>
      </c>
      <c r="B221" s="16" t="s">
        <v>9</v>
      </c>
      <c r="C221" s="10" t="s">
        <v>839</v>
      </c>
      <c r="D221" s="27" t="s">
        <v>137</v>
      </c>
      <c r="E221" s="27" t="s">
        <v>705</v>
      </c>
      <c r="F221" s="381"/>
      <c r="G221" s="230">
        <f>G222</f>
        <v>0</v>
      </c>
      <c r="H221" s="230">
        <f t="shared" ref="H221:O221" si="82">H222</f>
        <v>0</v>
      </c>
      <c r="I221" s="230">
        <f t="shared" si="82"/>
        <v>0</v>
      </c>
      <c r="J221" s="230">
        <f t="shared" si="82"/>
        <v>0</v>
      </c>
      <c r="K221" s="230">
        <f t="shared" si="82"/>
        <v>0</v>
      </c>
      <c r="L221" s="230">
        <f t="shared" si="82"/>
        <v>0</v>
      </c>
      <c r="M221" s="230">
        <f t="shared" si="82"/>
        <v>0</v>
      </c>
      <c r="N221" s="230">
        <f t="shared" si="82"/>
        <v>0</v>
      </c>
      <c r="O221" s="230">
        <f t="shared" si="82"/>
        <v>0</v>
      </c>
    </row>
    <row r="222" spans="1:15" ht="48.75" hidden="1" customHeight="1" x14ac:dyDescent="0.3">
      <c r="A222" s="19" t="s">
        <v>840</v>
      </c>
      <c r="B222" s="15" t="s">
        <v>76</v>
      </c>
      <c r="C222" s="17" t="s">
        <v>839</v>
      </c>
      <c r="D222" s="381" t="s">
        <v>137</v>
      </c>
      <c r="E222" s="381" t="s">
        <v>705</v>
      </c>
      <c r="F222" s="381"/>
      <c r="G222" s="231"/>
      <c r="H222" s="12"/>
      <c r="I222" s="12"/>
      <c r="J222" s="12"/>
      <c r="K222" s="12"/>
      <c r="L222" s="12"/>
      <c r="M222" s="155"/>
      <c r="N222" s="156"/>
      <c r="O222" s="157">
        <f>SUM(G222:N222)</f>
        <v>0</v>
      </c>
    </row>
    <row r="223" spans="1:15" x14ac:dyDescent="0.25">
      <c r="A223" s="83" t="s">
        <v>674</v>
      </c>
      <c r="B223" s="253" t="s">
        <v>9</v>
      </c>
      <c r="C223" s="9" t="s">
        <v>551</v>
      </c>
      <c r="D223" s="75" t="s">
        <v>137</v>
      </c>
      <c r="E223" s="75" t="s">
        <v>705</v>
      </c>
      <c r="F223" s="27"/>
      <c r="G223" s="527">
        <f>G224+G225</f>
        <v>185835.4</v>
      </c>
      <c r="H223" s="527">
        <f t="shared" ref="H223:N223" si="83">H224+H225</f>
        <v>20378.8</v>
      </c>
      <c r="I223" s="230">
        <f t="shared" si="83"/>
        <v>0</v>
      </c>
      <c r="J223" s="527">
        <f t="shared" si="83"/>
        <v>0</v>
      </c>
      <c r="K223" s="233">
        <f t="shared" si="83"/>
        <v>-176.02</v>
      </c>
      <c r="L223" s="644">
        <f t="shared" si="83"/>
        <v>0</v>
      </c>
      <c r="M223" s="230">
        <f t="shared" si="83"/>
        <v>0</v>
      </c>
      <c r="N223" s="230">
        <f t="shared" si="83"/>
        <v>0</v>
      </c>
      <c r="O223" s="592">
        <f>O224+O225</f>
        <v>206038.18</v>
      </c>
    </row>
    <row r="224" spans="1:15" x14ac:dyDescent="0.25">
      <c r="A224" s="100" t="s">
        <v>675</v>
      </c>
      <c r="B224" s="254" t="s">
        <v>22</v>
      </c>
      <c r="C224" s="67" t="s">
        <v>552</v>
      </c>
      <c r="D224" s="79" t="s">
        <v>137</v>
      </c>
      <c r="E224" s="79" t="s">
        <v>705</v>
      </c>
      <c r="F224" s="381"/>
      <c r="G224" s="528">
        <f>G226+G227+G228</f>
        <v>185467.8</v>
      </c>
      <c r="H224" s="528">
        <f t="shared" ref="H224:N224" si="84">H226+H227+H228</f>
        <v>20378.8</v>
      </c>
      <c r="I224" s="231">
        <f t="shared" si="84"/>
        <v>0</v>
      </c>
      <c r="J224" s="528">
        <f t="shared" si="84"/>
        <v>0</v>
      </c>
      <c r="K224" s="234">
        <f t="shared" si="84"/>
        <v>0</v>
      </c>
      <c r="L224" s="645">
        <f t="shared" si="84"/>
        <v>0</v>
      </c>
      <c r="M224" s="231">
        <f t="shared" si="84"/>
        <v>0</v>
      </c>
      <c r="N224" s="231">
        <f t="shared" si="84"/>
        <v>0</v>
      </c>
      <c r="O224" s="480">
        <f>O226+O227+O228</f>
        <v>205846.6</v>
      </c>
    </row>
    <row r="225" spans="1:15" x14ac:dyDescent="0.25">
      <c r="A225" s="100" t="s">
        <v>675</v>
      </c>
      <c r="B225" s="254" t="s">
        <v>76</v>
      </c>
      <c r="C225" s="67" t="s">
        <v>552</v>
      </c>
      <c r="D225" s="79" t="s">
        <v>137</v>
      </c>
      <c r="E225" s="79" t="s">
        <v>705</v>
      </c>
      <c r="F225" s="381"/>
      <c r="G225" s="528">
        <f>G229</f>
        <v>367.6</v>
      </c>
      <c r="H225" s="528">
        <f t="shared" ref="H225:O225" si="85">H229</f>
        <v>0</v>
      </c>
      <c r="I225" s="231">
        <f t="shared" si="85"/>
        <v>0</v>
      </c>
      <c r="J225" s="528">
        <f t="shared" si="85"/>
        <v>0</v>
      </c>
      <c r="K225" s="234">
        <f t="shared" si="85"/>
        <v>-176.02</v>
      </c>
      <c r="L225" s="645">
        <f t="shared" si="85"/>
        <v>0</v>
      </c>
      <c r="M225" s="231">
        <f t="shared" si="85"/>
        <v>0</v>
      </c>
      <c r="N225" s="231">
        <f t="shared" si="85"/>
        <v>0</v>
      </c>
      <c r="O225" s="480">
        <f t="shared" si="85"/>
        <v>191.58</v>
      </c>
    </row>
    <row r="226" spans="1:15" ht="31.15" hidden="1" outlineLevel="1" x14ac:dyDescent="0.3">
      <c r="A226" s="37" t="s">
        <v>343</v>
      </c>
      <c r="B226" s="41" t="s">
        <v>22</v>
      </c>
      <c r="C226" s="18"/>
      <c r="D226" s="38"/>
      <c r="E226" s="38"/>
      <c r="F226" s="38"/>
      <c r="G226" s="355">
        <v>31158</v>
      </c>
      <c r="H226" s="165">
        <v>4550.6000000000004</v>
      </c>
      <c r="I226" s="165"/>
      <c r="J226" s="165"/>
      <c r="K226" s="442"/>
      <c r="L226" s="166"/>
      <c r="M226" s="165"/>
      <c r="N226" s="166"/>
      <c r="O226" s="370">
        <f>SUM(G226:N226)</f>
        <v>35708.6</v>
      </c>
    </row>
    <row r="227" spans="1:15" ht="46.9" hidden="1" outlineLevel="1" x14ac:dyDescent="0.3">
      <c r="A227" s="37" t="s">
        <v>553</v>
      </c>
      <c r="B227" s="41" t="s">
        <v>22</v>
      </c>
      <c r="C227" s="18"/>
      <c r="D227" s="38"/>
      <c r="E227" s="38"/>
      <c r="F227" s="38"/>
      <c r="G227" s="355">
        <v>153941</v>
      </c>
      <c r="H227" s="165">
        <v>16197</v>
      </c>
      <c r="I227" s="165"/>
      <c r="J227" s="165"/>
      <c r="K227" s="442"/>
      <c r="L227" s="166"/>
      <c r="M227" s="165"/>
      <c r="N227" s="166"/>
      <c r="O227" s="370">
        <f>SUM(G227:N227)</f>
        <v>170138</v>
      </c>
    </row>
    <row r="228" spans="1:15" ht="46.9" hidden="1" outlineLevel="1" x14ac:dyDescent="0.3">
      <c r="A228" s="37" t="s">
        <v>835</v>
      </c>
      <c r="B228" s="41" t="s">
        <v>22</v>
      </c>
      <c r="C228" s="18"/>
      <c r="D228" s="38"/>
      <c r="E228" s="38"/>
      <c r="F228" s="38"/>
      <c r="G228" s="355">
        <v>368.8</v>
      </c>
      <c r="H228" s="165">
        <v>-368.8</v>
      </c>
      <c r="I228" s="165"/>
      <c r="J228" s="165"/>
      <c r="K228" s="442"/>
      <c r="L228" s="166"/>
      <c r="M228" s="165"/>
      <c r="N228" s="166"/>
      <c r="O228" s="370">
        <f>SUM(G228:N228)</f>
        <v>0</v>
      </c>
    </row>
    <row r="229" spans="1:15" ht="49.5" hidden="1" customHeight="1" outlineLevel="1" x14ac:dyDescent="0.3">
      <c r="A229" s="37" t="s">
        <v>747</v>
      </c>
      <c r="B229" s="255" t="s">
        <v>76</v>
      </c>
      <c r="C229" s="17"/>
      <c r="D229" s="381"/>
      <c r="E229" s="381"/>
      <c r="F229" s="381"/>
      <c r="G229" s="357">
        <v>367.6</v>
      </c>
      <c r="H229" s="155"/>
      <c r="I229" s="155"/>
      <c r="J229" s="155"/>
      <c r="K229" s="629">
        <v>-176.02</v>
      </c>
      <c r="L229" s="156"/>
      <c r="M229" s="155"/>
      <c r="N229" s="170"/>
      <c r="O229" s="370">
        <f>SUM(G229:N229)</f>
        <v>191.58</v>
      </c>
    </row>
    <row r="230" spans="1:15" collapsed="1" x14ac:dyDescent="0.25">
      <c r="A230" s="83" t="s">
        <v>344</v>
      </c>
      <c r="B230" s="72" t="s">
        <v>9</v>
      </c>
      <c r="C230" s="9" t="s">
        <v>554</v>
      </c>
      <c r="D230" s="75" t="s">
        <v>137</v>
      </c>
      <c r="E230" s="75" t="s">
        <v>705</v>
      </c>
      <c r="F230" s="27"/>
      <c r="G230" s="527">
        <f>G231+G241+G237+G235+G239</f>
        <v>22405.5</v>
      </c>
      <c r="H230" s="527">
        <f>H231+H241+H237+H235</f>
        <v>535.5</v>
      </c>
      <c r="I230" s="230">
        <f t="shared" ref="I230:N230" si="86">I231+I241+I237+I235</f>
        <v>0</v>
      </c>
      <c r="J230" s="527">
        <f t="shared" si="86"/>
        <v>0</v>
      </c>
      <c r="K230" s="233">
        <f t="shared" si="86"/>
        <v>73.2</v>
      </c>
      <c r="L230" s="644">
        <f t="shared" si="86"/>
        <v>309.13400000000001</v>
      </c>
      <c r="M230" s="230">
        <f t="shared" si="86"/>
        <v>0</v>
      </c>
      <c r="N230" s="230">
        <f t="shared" si="86"/>
        <v>0</v>
      </c>
      <c r="O230" s="592">
        <f>O231+O241+O237+O235+O239</f>
        <v>23362.3</v>
      </c>
    </row>
    <row r="231" spans="1:15" ht="63" x14ac:dyDescent="0.25">
      <c r="A231" s="83" t="s">
        <v>345</v>
      </c>
      <c r="B231" s="72" t="s">
        <v>9</v>
      </c>
      <c r="C231" s="9" t="s">
        <v>555</v>
      </c>
      <c r="D231" s="75" t="s">
        <v>137</v>
      </c>
      <c r="E231" s="75" t="s">
        <v>705</v>
      </c>
      <c r="F231" s="27"/>
      <c r="G231" s="527">
        <f>G232+G233+G234</f>
        <v>2890.7</v>
      </c>
      <c r="H231" s="527">
        <f t="shared" ref="H231:O231" si="87">H232+H233+H234</f>
        <v>0</v>
      </c>
      <c r="I231" s="230">
        <f t="shared" si="87"/>
        <v>0</v>
      </c>
      <c r="J231" s="527">
        <f>J232+J233+J234</f>
        <v>0</v>
      </c>
      <c r="K231" s="233">
        <f t="shared" si="87"/>
        <v>0</v>
      </c>
      <c r="L231" s="644">
        <f t="shared" si="87"/>
        <v>0</v>
      </c>
      <c r="M231" s="230">
        <f t="shared" si="87"/>
        <v>0</v>
      </c>
      <c r="N231" s="230">
        <f t="shared" si="87"/>
        <v>0</v>
      </c>
      <c r="O231" s="592">
        <f t="shared" si="87"/>
        <v>2890.7</v>
      </c>
    </row>
    <row r="232" spans="1:15" ht="63" x14ac:dyDescent="0.25">
      <c r="A232" s="100" t="s">
        <v>488</v>
      </c>
      <c r="B232" s="99" t="s">
        <v>49</v>
      </c>
      <c r="C232" s="67" t="s">
        <v>555</v>
      </c>
      <c r="D232" s="79" t="s">
        <v>137</v>
      </c>
      <c r="E232" s="79" t="s">
        <v>705</v>
      </c>
      <c r="F232" s="381"/>
      <c r="G232" s="528">
        <v>309.10000000000002</v>
      </c>
      <c r="H232" s="529"/>
      <c r="I232" s="155"/>
      <c r="J232" s="529"/>
      <c r="K232" s="629"/>
      <c r="L232" s="156"/>
      <c r="M232" s="155"/>
      <c r="N232" s="156"/>
      <c r="O232" s="480">
        <f>SUM(G232:N232)</f>
        <v>309.10000000000002</v>
      </c>
    </row>
    <row r="233" spans="1:15" ht="60.75" hidden="1" customHeight="1" x14ac:dyDescent="0.3">
      <c r="A233" s="100" t="s">
        <v>488</v>
      </c>
      <c r="B233" s="99" t="s">
        <v>70</v>
      </c>
      <c r="C233" s="67" t="s">
        <v>555</v>
      </c>
      <c r="D233" s="79" t="s">
        <v>137</v>
      </c>
      <c r="E233" s="79" t="s">
        <v>705</v>
      </c>
      <c r="F233" s="381"/>
      <c r="G233" s="231">
        <v>0</v>
      </c>
      <c r="H233" s="155"/>
      <c r="I233" s="155"/>
      <c r="J233" s="155"/>
      <c r="K233" s="155"/>
      <c r="L233" s="12"/>
      <c r="M233" s="155"/>
      <c r="N233" s="156"/>
      <c r="O233" s="278">
        <f>SUM(G233:N233)</f>
        <v>0</v>
      </c>
    </row>
    <row r="234" spans="1:15" ht="72" customHeight="1" x14ac:dyDescent="0.25">
      <c r="A234" s="100" t="s">
        <v>488</v>
      </c>
      <c r="B234" s="99" t="s">
        <v>76</v>
      </c>
      <c r="C234" s="67" t="s">
        <v>555</v>
      </c>
      <c r="D234" s="79" t="s">
        <v>137</v>
      </c>
      <c r="E234" s="79" t="s">
        <v>705</v>
      </c>
      <c r="F234" s="381"/>
      <c r="G234" s="528">
        <f>1781.8+426.4+373.4</f>
        <v>2581.6</v>
      </c>
      <c r="H234" s="529"/>
      <c r="I234" s="155"/>
      <c r="J234" s="529"/>
      <c r="K234" s="629"/>
      <c r="L234" s="156"/>
      <c r="M234" s="155"/>
      <c r="N234" s="156"/>
      <c r="O234" s="480">
        <f>SUM(G234:N234)</f>
        <v>2581.6</v>
      </c>
    </row>
    <row r="235" spans="1:15" ht="54" customHeight="1" x14ac:dyDescent="0.25">
      <c r="A235" s="83" t="s">
        <v>836</v>
      </c>
      <c r="B235" s="72" t="s">
        <v>9</v>
      </c>
      <c r="C235" s="9" t="s">
        <v>837</v>
      </c>
      <c r="D235" s="75" t="s">
        <v>137</v>
      </c>
      <c r="E235" s="75" t="s">
        <v>705</v>
      </c>
      <c r="F235" s="381"/>
      <c r="G235" s="527">
        <f>G236</f>
        <v>12967.9</v>
      </c>
      <c r="H235" s="527">
        <f t="shared" ref="H235:O235" si="88">H236</f>
        <v>0</v>
      </c>
      <c r="I235" s="230">
        <f t="shared" si="88"/>
        <v>0</v>
      </c>
      <c r="J235" s="527">
        <f t="shared" si="88"/>
        <v>0</v>
      </c>
      <c r="K235" s="233">
        <f t="shared" si="88"/>
        <v>0</v>
      </c>
      <c r="L235" s="644">
        <f t="shared" si="88"/>
        <v>0</v>
      </c>
      <c r="M235" s="230">
        <f t="shared" si="88"/>
        <v>0</v>
      </c>
      <c r="N235" s="230">
        <f t="shared" si="88"/>
        <v>0</v>
      </c>
      <c r="O235" s="592">
        <f t="shared" si="88"/>
        <v>12967.9</v>
      </c>
    </row>
    <row r="236" spans="1:15" ht="49.5" customHeight="1" x14ac:dyDescent="0.25">
      <c r="A236" s="100" t="s">
        <v>836</v>
      </c>
      <c r="B236" s="99" t="s">
        <v>22</v>
      </c>
      <c r="C236" s="67" t="s">
        <v>837</v>
      </c>
      <c r="D236" s="79" t="s">
        <v>137</v>
      </c>
      <c r="E236" s="79" t="s">
        <v>705</v>
      </c>
      <c r="F236" s="381"/>
      <c r="G236" s="528">
        <v>12967.9</v>
      </c>
      <c r="H236" s="529"/>
      <c r="I236" s="155"/>
      <c r="J236" s="529"/>
      <c r="K236" s="629"/>
      <c r="L236" s="156"/>
      <c r="M236" s="155"/>
      <c r="N236" s="156"/>
      <c r="O236" s="480">
        <f>SUM(G236:N236)</f>
        <v>12967.9</v>
      </c>
    </row>
    <row r="237" spans="1:15" ht="48.75" hidden="1" customHeight="1" x14ac:dyDescent="0.3">
      <c r="A237" s="202" t="s">
        <v>688</v>
      </c>
      <c r="B237" s="16" t="s">
        <v>9</v>
      </c>
      <c r="C237" s="10" t="s">
        <v>689</v>
      </c>
      <c r="D237" s="27" t="s">
        <v>137</v>
      </c>
      <c r="E237" s="27" t="s">
        <v>705</v>
      </c>
      <c r="F237" s="38"/>
      <c r="G237" s="245">
        <f>G238</f>
        <v>0</v>
      </c>
      <c r="H237" s="245">
        <f t="shared" ref="H237:O237" si="89">H238</f>
        <v>0</v>
      </c>
      <c r="I237" s="245">
        <f t="shared" si="89"/>
        <v>0</v>
      </c>
      <c r="J237" s="245">
        <f t="shared" si="89"/>
        <v>0</v>
      </c>
      <c r="K237" s="245">
        <f t="shared" si="89"/>
        <v>0</v>
      </c>
      <c r="L237" s="245">
        <f t="shared" si="89"/>
        <v>0</v>
      </c>
      <c r="M237" s="245">
        <f t="shared" si="89"/>
        <v>0</v>
      </c>
      <c r="N237" s="245">
        <f t="shared" si="89"/>
        <v>0</v>
      </c>
      <c r="O237" s="245">
        <f t="shared" si="89"/>
        <v>0</v>
      </c>
    </row>
    <row r="238" spans="1:15" ht="45" hidden="1" customHeight="1" x14ac:dyDescent="0.3">
      <c r="A238" s="203" t="s">
        <v>688</v>
      </c>
      <c r="B238" s="15" t="s">
        <v>76</v>
      </c>
      <c r="C238" s="17" t="s">
        <v>689</v>
      </c>
      <c r="D238" s="381" t="s">
        <v>137</v>
      </c>
      <c r="E238" s="381" t="s">
        <v>705</v>
      </c>
      <c r="F238" s="38"/>
      <c r="G238" s="189"/>
      <c r="H238" s="21"/>
      <c r="I238" s="21"/>
      <c r="J238" s="165"/>
      <c r="K238" s="21"/>
      <c r="L238" s="21"/>
      <c r="M238" s="21"/>
      <c r="N238" s="166"/>
      <c r="O238" s="158">
        <f>SUM(G238:N238)</f>
        <v>0</v>
      </c>
    </row>
    <row r="239" spans="1:15" ht="36" customHeight="1" x14ac:dyDescent="0.25">
      <c r="A239" s="202" t="s">
        <v>1025</v>
      </c>
      <c r="B239" s="16" t="s">
        <v>9</v>
      </c>
      <c r="C239" s="10" t="s">
        <v>1026</v>
      </c>
      <c r="D239" s="27" t="s">
        <v>137</v>
      </c>
      <c r="E239" s="27" t="s">
        <v>705</v>
      </c>
      <c r="F239" s="38"/>
      <c r="G239" s="531">
        <f>G240</f>
        <v>5000</v>
      </c>
      <c r="H239" s="533"/>
      <c r="I239" s="21"/>
      <c r="J239" s="533"/>
      <c r="K239" s="633"/>
      <c r="L239" s="166"/>
      <c r="M239" s="21"/>
      <c r="N239" s="166"/>
      <c r="O239" s="592">
        <f>O240</f>
        <v>5000</v>
      </c>
    </row>
    <row r="240" spans="1:15" ht="36" customHeight="1" x14ac:dyDescent="0.25">
      <c r="A240" s="203" t="s">
        <v>1025</v>
      </c>
      <c r="B240" s="15" t="s">
        <v>76</v>
      </c>
      <c r="C240" s="17" t="s">
        <v>1026</v>
      </c>
      <c r="D240" s="381" t="s">
        <v>137</v>
      </c>
      <c r="E240" s="381" t="s">
        <v>705</v>
      </c>
      <c r="F240" s="38"/>
      <c r="G240" s="529">
        <v>5000</v>
      </c>
      <c r="H240" s="533"/>
      <c r="I240" s="21"/>
      <c r="J240" s="533"/>
      <c r="K240" s="633"/>
      <c r="L240" s="166"/>
      <c r="M240" s="21"/>
      <c r="N240" s="166"/>
      <c r="O240" s="480">
        <f>SUM(G240:N240)</f>
        <v>5000</v>
      </c>
    </row>
    <row r="241" spans="1:15" ht="27.75" customHeight="1" x14ac:dyDescent="0.25">
      <c r="A241" s="83" t="s">
        <v>346</v>
      </c>
      <c r="B241" s="72" t="s">
        <v>9</v>
      </c>
      <c r="C241" s="9" t="s">
        <v>556</v>
      </c>
      <c r="D241" s="75" t="s">
        <v>137</v>
      </c>
      <c r="E241" s="75" t="s">
        <v>705</v>
      </c>
      <c r="F241" s="27"/>
      <c r="G241" s="527">
        <f>G243+G250+G251</f>
        <v>1546.9</v>
      </c>
      <c r="H241" s="527">
        <f>H243+H244</f>
        <v>535.5</v>
      </c>
      <c r="I241" s="249">
        <f t="shared" ref="I241:N241" si="90">I243+I250+I251</f>
        <v>0</v>
      </c>
      <c r="J241" s="527">
        <f>J243+J250+J251</f>
        <v>0</v>
      </c>
      <c r="K241" s="631">
        <f t="shared" si="90"/>
        <v>73.2</v>
      </c>
      <c r="L241" s="649">
        <f>L243+L250+L251+L252</f>
        <v>309.13400000000001</v>
      </c>
      <c r="M241" s="249">
        <f t="shared" si="90"/>
        <v>0</v>
      </c>
      <c r="N241" s="249">
        <f t="shared" si="90"/>
        <v>0</v>
      </c>
      <c r="O241" s="592">
        <f>O243+O244</f>
        <v>2503.6999999999998</v>
      </c>
    </row>
    <row r="242" spans="1:15" ht="27.75" hidden="1" customHeight="1" x14ac:dyDescent="0.3">
      <c r="A242" s="100" t="s">
        <v>489</v>
      </c>
      <c r="B242" s="99"/>
      <c r="C242" s="67" t="s">
        <v>557</v>
      </c>
      <c r="D242" s="79" t="s">
        <v>137</v>
      </c>
      <c r="E242" s="79" t="s">
        <v>705</v>
      </c>
      <c r="F242" s="27"/>
      <c r="G242" s="356"/>
      <c r="H242" s="159"/>
      <c r="I242" s="249"/>
      <c r="J242" s="249"/>
      <c r="K242" s="249"/>
      <c r="L242" s="249"/>
      <c r="M242" s="249"/>
      <c r="N242" s="249"/>
      <c r="O242" s="425">
        <f>SUM(G242:N242)</f>
        <v>0</v>
      </c>
    </row>
    <row r="243" spans="1:15" ht="27.75" customHeight="1" x14ac:dyDescent="0.25">
      <c r="A243" s="100" t="s">
        <v>489</v>
      </c>
      <c r="B243" s="99" t="s">
        <v>22</v>
      </c>
      <c r="C243" s="67" t="s">
        <v>557</v>
      </c>
      <c r="D243" s="79" t="s">
        <v>137</v>
      </c>
      <c r="E243" s="79" t="s">
        <v>705</v>
      </c>
      <c r="F243" s="27"/>
      <c r="G243" s="528">
        <f>G245+G247</f>
        <v>1546.9</v>
      </c>
      <c r="H243" s="529">
        <f>H245</f>
        <v>-1500</v>
      </c>
      <c r="I243" s="160"/>
      <c r="J243" s="529"/>
      <c r="K243" s="634">
        <f>K247</f>
        <v>73.2</v>
      </c>
      <c r="L243" s="161"/>
      <c r="M243" s="160"/>
      <c r="N243" s="256"/>
      <c r="O243" s="480">
        <f>SUM(G243:N243)</f>
        <v>120.10000000000009</v>
      </c>
    </row>
    <row r="244" spans="1:15" ht="29.25" customHeight="1" x14ac:dyDescent="0.25">
      <c r="A244" s="100" t="s">
        <v>489</v>
      </c>
      <c r="B244" s="99" t="s">
        <v>76</v>
      </c>
      <c r="C244" s="67" t="s">
        <v>557</v>
      </c>
      <c r="D244" s="79" t="s">
        <v>137</v>
      </c>
      <c r="E244" s="79" t="s">
        <v>705</v>
      </c>
      <c r="F244" s="27"/>
      <c r="G244" s="528"/>
      <c r="H244" s="529">
        <f>H246+H248+H249</f>
        <v>2035.5</v>
      </c>
      <c r="I244" s="160"/>
      <c r="J244" s="529"/>
      <c r="K244" s="634"/>
      <c r="L244" s="161">
        <f>L250</f>
        <v>348.1</v>
      </c>
      <c r="M244" s="160"/>
      <c r="N244" s="256"/>
      <c r="O244" s="480">
        <f>SUM(G244:N244)</f>
        <v>2383.6</v>
      </c>
    </row>
    <row r="245" spans="1:15" ht="56.25" hidden="1" customHeight="1" outlineLevel="1" x14ac:dyDescent="0.3">
      <c r="A245" s="237" t="s">
        <v>1023</v>
      </c>
      <c r="B245" s="99" t="s">
        <v>22</v>
      </c>
      <c r="C245" s="67"/>
      <c r="D245" s="79"/>
      <c r="E245" s="79"/>
      <c r="F245" s="27"/>
      <c r="G245" s="354">
        <f>1000+500</f>
        <v>1500</v>
      </c>
      <c r="H245" s="160">
        <v>-1500</v>
      </c>
      <c r="I245" s="160"/>
      <c r="J245" s="160"/>
      <c r="K245" s="634"/>
      <c r="L245" s="161"/>
      <c r="M245" s="160"/>
      <c r="N245" s="256"/>
      <c r="O245" s="371">
        <f t="shared" ref="O245:O251" si="91">SUM(G245:N245)</f>
        <v>0</v>
      </c>
    </row>
    <row r="246" spans="1:15" ht="32.25" hidden="1" customHeight="1" outlineLevel="1" x14ac:dyDescent="0.3">
      <c r="A246" s="237" t="s">
        <v>1023</v>
      </c>
      <c r="B246" s="99" t="s">
        <v>76</v>
      </c>
      <c r="C246" s="67"/>
      <c r="D246" s="79"/>
      <c r="E246" s="79"/>
      <c r="F246" s="27"/>
      <c r="G246" s="354"/>
      <c r="H246" s="160">
        <v>1500</v>
      </c>
      <c r="I246" s="160"/>
      <c r="J246" s="160"/>
      <c r="K246" s="634"/>
      <c r="L246" s="161"/>
      <c r="M246" s="160"/>
      <c r="N246" s="256"/>
      <c r="O246" s="371">
        <f t="shared" si="91"/>
        <v>1500</v>
      </c>
    </row>
    <row r="247" spans="1:15" ht="39.75" hidden="1" customHeight="1" outlineLevel="1" x14ac:dyDescent="0.3">
      <c r="A247" s="237" t="s">
        <v>1024</v>
      </c>
      <c r="B247" s="99" t="s">
        <v>22</v>
      </c>
      <c r="C247" s="67"/>
      <c r="D247" s="79"/>
      <c r="E247" s="79"/>
      <c r="F247" s="27"/>
      <c r="G247" s="354">
        <f>28.4+18.5</f>
        <v>46.9</v>
      </c>
      <c r="H247" s="160"/>
      <c r="I247" s="160"/>
      <c r="J247" s="160"/>
      <c r="K247" s="634">
        <v>73.2</v>
      </c>
      <c r="L247" s="161"/>
      <c r="M247" s="160"/>
      <c r="N247" s="256"/>
      <c r="O247" s="371">
        <f t="shared" si="91"/>
        <v>120.1</v>
      </c>
    </row>
    <row r="248" spans="1:15" ht="69.75" hidden="1" customHeight="1" outlineLevel="1" x14ac:dyDescent="0.3">
      <c r="A248" s="422" t="s">
        <v>1174</v>
      </c>
      <c r="B248" s="423" t="s">
        <v>76</v>
      </c>
      <c r="C248" s="67"/>
      <c r="D248" s="79"/>
      <c r="E248" s="79"/>
      <c r="F248" s="27"/>
      <c r="G248" s="354"/>
      <c r="H248" s="160">
        <v>75</v>
      </c>
      <c r="I248" s="160"/>
      <c r="J248" s="160"/>
      <c r="K248" s="634"/>
      <c r="L248" s="161"/>
      <c r="M248" s="160"/>
      <c r="N248" s="256"/>
      <c r="O248" s="371">
        <f t="shared" si="91"/>
        <v>75</v>
      </c>
    </row>
    <row r="249" spans="1:15" ht="69.75" hidden="1" customHeight="1" outlineLevel="1" x14ac:dyDescent="0.3">
      <c r="A249" s="422" t="s">
        <v>1175</v>
      </c>
      <c r="B249" s="423" t="s">
        <v>76</v>
      </c>
      <c r="C249" s="67"/>
      <c r="D249" s="79"/>
      <c r="E249" s="79"/>
      <c r="F249" s="27"/>
      <c r="G249" s="354"/>
      <c r="H249" s="160">
        <v>460.5</v>
      </c>
      <c r="I249" s="160"/>
      <c r="J249" s="160"/>
      <c r="K249" s="634"/>
      <c r="L249" s="161"/>
      <c r="M249" s="160"/>
      <c r="N249" s="256"/>
      <c r="O249" s="371">
        <f t="shared" si="91"/>
        <v>460.5</v>
      </c>
    </row>
    <row r="250" spans="1:15" ht="43.5" hidden="1" customHeight="1" outlineLevel="1" x14ac:dyDescent="0.3">
      <c r="A250" s="237" t="s">
        <v>1262</v>
      </c>
      <c r="B250" s="99" t="s">
        <v>76</v>
      </c>
      <c r="C250" s="67"/>
      <c r="D250" s="79"/>
      <c r="E250" s="79"/>
      <c r="F250" s="381"/>
      <c r="G250" s="357"/>
      <c r="H250" s="155"/>
      <c r="I250" s="155"/>
      <c r="J250" s="155">
        <v>0</v>
      </c>
      <c r="K250" s="629"/>
      <c r="L250" s="156">
        <v>348.1</v>
      </c>
      <c r="M250" s="155"/>
      <c r="N250" s="156"/>
      <c r="O250" s="371">
        <f t="shared" si="91"/>
        <v>348.1</v>
      </c>
    </row>
    <row r="251" spans="1:15" ht="39.75" hidden="1" customHeight="1" outlineLevel="1" x14ac:dyDescent="0.3">
      <c r="A251" s="237" t="s">
        <v>489</v>
      </c>
      <c r="B251" s="99" t="s">
        <v>76</v>
      </c>
      <c r="C251" s="67"/>
      <c r="D251" s="79"/>
      <c r="E251" s="79"/>
      <c r="F251" s="381"/>
      <c r="G251" s="357"/>
      <c r="H251" s="12"/>
      <c r="I251" s="12"/>
      <c r="J251" s="12"/>
      <c r="K251" s="588"/>
      <c r="L251" s="156"/>
      <c r="M251" s="155"/>
      <c r="N251" s="156"/>
      <c r="O251" s="371">
        <f t="shared" si="91"/>
        <v>0</v>
      </c>
    </row>
    <row r="252" spans="1:15" ht="39.75" customHeight="1" collapsed="1" x14ac:dyDescent="0.25">
      <c r="A252" s="83" t="s">
        <v>1203</v>
      </c>
      <c r="B252" s="72" t="s">
        <v>9</v>
      </c>
      <c r="C252" s="148" t="s">
        <v>1201</v>
      </c>
      <c r="D252" s="75" t="s">
        <v>137</v>
      </c>
      <c r="E252" s="75" t="s">
        <v>705</v>
      </c>
      <c r="F252" s="27"/>
      <c r="G252" s="531"/>
      <c r="H252" s="529"/>
      <c r="I252" s="12"/>
      <c r="J252" s="531">
        <f>J253+J255+J256</f>
        <v>714.37300000000005</v>
      </c>
      <c r="K252" s="588"/>
      <c r="L252" s="646">
        <f>L255+L256</f>
        <v>-38.966000000000001</v>
      </c>
      <c r="M252" s="155"/>
      <c r="N252" s="156"/>
      <c r="O252" s="592">
        <f>G252+J252+L252</f>
        <v>675.40700000000004</v>
      </c>
    </row>
    <row r="253" spans="1:15" ht="39.75" customHeight="1" x14ac:dyDescent="0.25">
      <c r="A253" s="100" t="s">
        <v>1202</v>
      </c>
      <c r="B253" s="99" t="s">
        <v>76</v>
      </c>
      <c r="C253" s="67" t="s">
        <v>1205</v>
      </c>
      <c r="D253" s="458" t="s">
        <v>137</v>
      </c>
      <c r="E253" s="458" t="s">
        <v>705</v>
      </c>
      <c r="F253" s="459"/>
      <c r="G253" s="529"/>
      <c r="H253" s="529"/>
      <c r="I253" s="12"/>
      <c r="J253" s="529">
        <v>544.37300000000005</v>
      </c>
      <c r="K253" s="588"/>
      <c r="L253" s="156"/>
      <c r="M253" s="155"/>
      <c r="N253" s="156"/>
      <c r="O253" s="480">
        <f>G253+J253</f>
        <v>544.37300000000005</v>
      </c>
    </row>
    <row r="254" spans="1:15" ht="39.75" customHeight="1" x14ac:dyDescent="0.25">
      <c r="A254" s="100" t="s">
        <v>1204</v>
      </c>
      <c r="B254" s="99" t="s">
        <v>76</v>
      </c>
      <c r="C254" s="67" t="s">
        <v>1200</v>
      </c>
      <c r="D254" s="458" t="s">
        <v>137</v>
      </c>
      <c r="E254" s="458" t="s">
        <v>705</v>
      </c>
      <c r="F254" s="459"/>
      <c r="G254" s="529"/>
      <c r="H254" s="529"/>
      <c r="I254" s="12"/>
      <c r="J254" s="529">
        <f>J255+J256</f>
        <v>170</v>
      </c>
      <c r="K254" s="588"/>
      <c r="L254" s="156"/>
      <c r="M254" s="155"/>
      <c r="N254" s="156"/>
      <c r="O254" s="480">
        <f>O255+O256</f>
        <v>131.03399999999999</v>
      </c>
    </row>
    <row r="255" spans="1:15" ht="54.75" hidden="1" customHeight="1" outlineLevel="2" x14ac:dyDescent="0.3">
      <c r="A255" s="237" t="s">
        <v>1206</v>
      </c>
      <c r="B255" s="99" t="s">
        <v>76</v>
      </c>
      <c r="C255" s="67" t="s">
        <v>1200</v>
      </c>
      <c r="D255" s="458" t="s">
        <v>137</v>
      </c>
      <c r="E255" s="458" t="s">
        <v>705</v>
      </c>
      <c r="F255" s="459"/>
      <c r="G255" s="478"/>
      <c r="H255" s="471"/>
      <c r="I255" s="12"/>
      <c r="J255" s="471">
        <v>30</v>
      </c>
      <c r="K255" s="588"/>
      <c r="L255" s="156">
        <v>-5.3659999999999997</v>
      </c>
      <c r="M255" s="155"/>
      <c r="N255" s="156"/>
      <c r="O255" s="480">
        <f>G255+J255+L255</f>
        <v>24.634</v>
      </c>
    </row>
    <row r="256" spans="1:15" ht="52.5" hidden="1" customHeight="1" outlineLevel="2" x14ac:dyDescent="0.3">
      <c r="A256" s="237" t="s">
        <v>1207</v>
      </c>
      <c r="B256" s="99" t="s">
        <v>76</v>
      </c>
      <c r="C256" s="67" t="s">
        <v>1200</v>
      </c>
      <c r="D256" s="458" t="s">
        <v>137</v>
      </c>
      <c r="E256" s="458" t="s">
        <v>705</v>
      </c>
      <c r="F256" s="459"/>
      <c r="G256" s="478"/>
      <c r="H256" s="471"/>
      <c r="I256" s="12"/>
      <c r="J256" s="471">
        <v>140</v>
      </c>
      <c r="K256" s="588"/>
      <c r="L256" s="156">
        <v>-33.6</v>
      </c>
      <c r="M256" s="155"/>
      <c r="N256" s="156"/>
      <c r="O256" s="480">
        <f>G256+J256+L256</f>
        <v>106.4</v>
      </c>
    </row>
    <row r="257" spans="1:15" collapsed="1" x14ac:dyDescent="0.25">
      <c r="A257" s="83" t="s">
        <v>347</v>
      </c>
      <c r="B257" s="72" t="s">
        <v>9</v>
      </c>
      <c r="C257" s="9" t="s">
        <v>348</v>
      </c>
      <c r="D257" s="75" t="s">
        <v>137</v>
      </c>
      <c r="E257" s="75" t="s">
        <v>9</v>
      </c>
      <c r="F257" s="381"/>
      <c r="G257" s="527">
        <f>G258</f>
        <v>400</v>
      </c>
      <c r="H257" s="527">
        <f t="shared" ref="H257:O258" si="92">H258</f>
        <v>140</v>
      </c>
      <c r="I257" s="230">
        <f t="shared" si="92"/>
        <v>0</v>
      </c>
      <c r="J257" s="527">
        <f>J258</f>
        <v>-140</v>
      </c>
      <c r="K257" s="233">
        <f t="shared" si="92"/>
        <v>450</v>
      </c>
      <c r="L257" s="644">
        <f>L258</f>
        <v>0</v>
      </c>
      <c r="M257" s="230">
        <f t="shared" si="92"/>
        <v>0</v>
      </c>
      <c r="N257" s="230">
        <f t="shared" si="92"/>
        <v>0</v>
      </c>
      <c r="O257" s="592">
        <f t="shared" si="92"/>
        <v>850</v>
      </c>
    </row>
    <row r="258" spans="1:15" ht="27.75" customHeight="1" x14ac:dyDescent="0.25">
      <c r="A258" s="83" t="s">
        <v>221</v>
      </c>
      <c r="B258" s="72" t="s">
        <v>9</v>
      </c>
      <c r="C258" s="9" t="s">
        <v>1208</v>
      </c>
      <c r="D258" s="75" t="s">
        <v>137</v>
      </c>
      <c r="E258" s="75" t="s">
        <v>705</v>
      </c>
      <c r="F258" s="381"/>
      <c r="G258" s="527">
        <f>G259</f>
        <v>400</v>
      </c>
      <c r="H258" s="527">
        <f t="shared" si="92"/>
        <v>140</v>
      </c>
      <c r="I258" s="230">
        <f t="shared" si="92"/>
        <v>0</v>
      </c>
      <c r="J258" s="527">
        <f>J259</f>
        <v>-140</v>
      </c>
      <c r="K258" s="233">
        <f>K259</f>
        <v>450</v>
      </c>
      <c r="L258" s="644">
        <f t="shared" si="92"/>
        <v>0</v>
      </c>
      <c r="M258" s="230">
        <f t="shared" si="92"/>
        <v>0</v>
      </c>
      <c r="N258" s="230">
        <f t="shared" si="92"/>
        <v>0</v>
      </c>
      <c r="O258" s="592">
        <f t="shared" si="92"/>
        <v>850</v>
      </c>
    </row>
    <row r="259" spans="1:15" ht="19.5" customHeight="1" x14ac:dyDescent="0.25">
      <c r="A259" s="100" t="s">
        <v>221</v>
      </c>
      <c r="B259" s="99" t="s">
        <v>76</v>
      </c>
      <c r="C259" s="67" t="s">
        <v>349</v>
      </c>
      <c r="D259" s="79" t="s">
        <v>137</v>
      </c>
      <c r="E259" s="79" t="s">
        <v>705</v>
      </c>
      <c r="F259" s="381"/>
      <c r="G259" s="528">
        <v>400</v>
      </c>
      <c r="H259" s="529">
        <v>140</v>
      </c>
      <c r="I259" s="152"/>
      <c r="J259" s="531">
        <f>J265+J266+J267</f>
        <v>-140</v>
      </c>
      <c r="K259" s="470">
        <f>K265+K266+K267</f>
        <v>450</v>
      </c>
      <c r="L259" s="153"/>
      <c r="M259" s="152"/>
      <c r="N259" s="153"/>
      <c r="O259" s="480">
        <f>SUM(G259:N259)</f>
        <v>850</v>
      </c>
    </row>
    <row r="260" spans="1:15" ht="37.5" hidden="1" customHeight="1" x14ac:dyDescent="0.3">
      <c r="A260" s="171" t="s">
        <v>748</v>
      </c>
      <c r="B260" s="16" t="s">
        <v>9</v>
      </c>
      <c r="C260" s="10" t="s">
        <v>749</v>
      </c>
      <c r="D260" s="27" t="s">
        <v>137</v>
      </c>
      <c r="E260" s="27" t="s">
        <v>9</v>
      </c>
      <c r="F260" s="152">
        <v>19699.55861</v>
      </c>
      <c r="G260" s="164"/>
      <c r="H260" s="11"/>
      <c r="I260" s="11"/>
      <c r="J260" s="152">
        <f>J263</f>
        <v>0</v>
      </c>
      <c r="K260" s="11"/>
      <c r="L260" s="11"/>
      <c r="M260" s="11"/>
      <c r="N260" s="153"/>
      <c r="O260" s="168" t="e">
        <f>#REF!+N260</f>
        <v>#REF!</v>
      </c>
    </row>
    <row r="261" spans="1:15" ht="24.75" hidden="1" customHeight="1" x14ac:dyDescent="0.3">
      <c r="A261" s="171" t="s">
        <v>750</v>
      </c>
      <c r="B261" s="16" t="s">
        <v>751</v>
      </c>
      <c r="C261" s="10" t="s">
        <v>749</v>
      </c>
      <c r="D261" s="27" t="s">
        <v>137</v>
      </c>
      <c r="E261" s="27" t="s">
        <v>705</v>
      </c>
      <c r="F261" s="152">
        <v>19699.55861</v>
      </c>
      <c r="G261" s="164"/>
      <c r="H261" s="11"/>
      <c r="I261" s="11"/>
      <c r="J261" s="11"/>
      <c r="K261" s="11"/>
      <c r="L261" s="11"/>
      <c r="M261" s="11"/>
      <c r="N261" s="153"/>
      <c r="O261" s="168" t="e">
        <f>#REF!+N261</f>
        <v>#REF!</v>
      </c>
    </row>
    <row r="262" spans="1:15" ht="25.5" hidden="1" customHeight="1" x14ac:dyDescent="0.3">
      <c r="A262" s="171" t="s">
        <v>752</v>
      </c>
      <c r="B262" s="16" t="s">
        <v>9</v>
      </c>
      <c r="C262" s="10" t="s">
        <v>753</v>
      </c>
      <c r="D262" s="27" t="s">
        <v>137</v>
      </c>
      <c r="E262" s="27" t="s">
        <v>705</v>
      </c>
      <c r="F262" s="152"/>
      <c r="G262" s="164"/>
      <c r="H262" s="11"/>
      <c r="I262" s="11"/>
      <c r="J262" s="11"/>
      <c r="K262" s="11"/>
      <c r="L262" s="11"/>
      <c r="M262" s="11"/>
      <c r="N262" s="153"/>
      <c r="O262" s="168" t="e">
        <f>#REF!+N262</f>
        <v>#REF!</v>
      </c>
    </row>
    <row r="263" spans="1:15" ht="30" hidden="1" customHeight="1" x14ac:dyDescent="0.3">
      <c r="A263" s="172" t="s">
        <v>585</v>
      </c>
      <c r="B263" s="15" t="s">
        <v>49</v>
      </c>
      <c r="C263" s="17" t="s">
        <v>754</v>
      </c>
      <c r="D263" s="381" t="s">
        <v>335</v>
      </c>
      <c r="E263" s="381" t="s">
        <v>705</v>
      </c>
      <c r="F263" s="152"/>
      <c r="G263" s="164"/>
      <c r="H263" s="11"/>
      <c r="I263" s="11"/>
      <c r="J263" s="160"/>
      <c r="K263" s="11"/>
      <c r="L263" s="11"/>
      <c r="M263" s="11"/>
      <c r="N263" s="153"/>
      <c r="O263" s="168" t="e">
        <f>#REF!+N263</f>
        <v>#REF!</v>
      </c>
    </row>
    <row r="264" spans="1:15" ht="64.5" hidden="1" customHeight="1" x14ac:dyDescent="0.3">
      <c r="A264" s="173" t="s">
        <v>755</v>
      </c>
      <c r="B264" s="72" t="s">
        <v>9</v>
      </c>
      <c r="C264" s="9" t="s">
        <v>756</v>
      </c>
      <c r="D264" s="75" t="s">
        <v>137</v>
      </c>
      <c r="E264" s="75" t="s">
        <v>757</v>
      </c>
      <c r="F264" s="152"/>
      <c r="G264" s="164"/>
      <c r="H264" s="152">
        <f>H268</f>
        <v>-732.22</v>
      </c>
      <c r="I264" s="152"/>
      <c r="J264" s="152">
        <f>J268</f>
        <v>-590.09640999999965</v>
      </c>
      <c r="K264" s="152"/>
      <c r="L264" s="11"/>
      <c r="M264" s="152"/>
      <c r="N264" s="153">
        <f>N268</f>
        <v>0</v>
      </c>
      <c r="O264" s="154" t="e">
        <f>#REF!+N264</f>
        <v>#REF!</v>
      </c>
    </row>
    <row r="265" spans="1:15" ht="64.5" hidden="1" customHeight="1" outlineLevel="1" x14ac:dyDescent="0.3">
      <c r="A265" s="424" t="s">
        <v>1181</v>
      </c>
      <c r="B265" s="72"/>
      <c r="C265" s="9"/>
      <c r="D265" s="75"/>
      <c r="E265" s="75"/>
      <c r="F265" s="152"/>
      <c r="G265" s="479">
        <v>160</v>
      </c>
      <c r="H265" s="475"/>
      <c r="I265" s="152"/>
      <c r="J265" s="473"/>
      <c r="K265" s="470"/>
      <c r="L265" s="153"/>
      <c r="M265" s="152"/>
      <c r="N265" s="153"/>
      <c r="O265" s="480">
        <f t="shared" ref="O265:O267" si="93">SUM(G265:N265)</f>
        <v>160</v>
      </c>
    </row>
    <row r="266" spans="1:15" ht="64.5" hidden="1" customHeight="1" outlineLevel="1" x14ac:dyDescent="0.3">
      <c r="A266" s="424" t="s">
        <v>1182</v>
      </c>
      <c r="B266" s="72"/>
      <c r="C266" s="9"/>
      <c r="D266" s="75"/>
      <c r="E266" s="75"/>
      <c r="F266" s="152"/>
      <c r="G266" s="479">
        <v>240</v>
      </c>
      <c r="H266" s="475"/>
      <c r="I266" s="152"/>
      <c r="J266" s="473"/>
      <c r="K266" s="470"/>
      <c r="L266" s="153"/>
      <c r="M266" s="152"/>
      <c r="N266" s="153"/>
      <c r="O266" s="480">
        <f t="shared" si="93"/>
        <v>240</v>
      </c>
    </row>
    <row r="267" spans="1:15" ht="64.5" hidden="1" customHeight="1" outlineLevel="1" x14ac:dyDescent="0.3">
      <c r="A267" s="424" t="s">
        <v>1227</v>
      </c>
      <c r="B267" s="72"/>
      <c r="C267" s="9"/>
      <c r="D267" s="75"/>
      <c r="E267" s="75"/>
      <c r="F267" s="152"/>
      <c r="G267" s="479"/>
      <c r="H267" s="475">
        <v>140</v>
      </c>
      <c r="I267" s="152"/>
      <c r="J267" s="473">
        <v>-140</v>
      </c>
      <c r="K267" s="470">
        <v>450</v>
      </c>
      <c r="L267" s="153"/>
      <c r="M267" s="152"/>
      <c r="N267" s="153"/>
      <c r="O267" s="480">
        <f t="shared" si="93"/>
        <v>450</v>
      </c>
    </row>
    <row r="268" spans="1:15" s="350" customFormat="1" ht="42.75" customHeight="1" collapsed="1" x14ac:dyDescent="0.25">
      <c r="A268" s="173" t="s">
        <v>758</v>
      </c>
      <c r="B268" s="72" t="s">
        <v>9</v>
      </c>
      <c r="C268" s="9" t="s">
        <v>759</v>
      </c>
      <c r="D268" s="75" t="s">
        <v>137</v>
      </c>
      <c r="E268" s="75" t="s">
        <v>705</v>
      </c>
      <c r="F268" s="152"/>
      <c r="G268" s="531">
        <f>G271</f>
        <v>-3558.5</v>
      </c>
      <c r="H268" s="531">
        <f>H269+H271</f>
        <v>-732.22</v>
      </c>
      <c r="I268" s="11"/>
      <c r="J268" s="531">
        <f>J269+J271+J274+J273</f>
        <v>-590.09640999999965</v>
      </c>
      <c r="K268" s="635">
        <f>K271</f>
        <v>-300</v>
      </c>
      <c r="L268" s="153"/>
      <c r="M268" s="152"/>
      <c r="N268" s="153">
        <f>N269</f>
        <v>0</v>
      </c>
      <c r="O268" s="592">
        <f>O271</f>
        <v>-5180.8164099999995</v>
      </c>
    </row>
    <row r="269" spans="1:15" ht="40.5" hidden="1" customHeight="1" x14ac:dyDescent="0.3">
      <c r="A269" s="173" t="s">
        <v>760</v>
      </c>
      <c r="B269" s="72" t="s">
        <v>9</v>
      </c>
      <c r="C269" s="9" t="s">
        <v>761</v>
      </c>
      <c r="D269" s="75" t="s">
        <v>137</v>
      </c>
      <c r="E269" s="9">
        <v>150</v>
      </c>
      <c r="F269" s="152"/>
      <c r="G269" s="164"/>
      <c r="H269" s="152">
        <f>H270</f>
        <v>0</v>
      </c>
      <c r="I269" s="152"/>
      <c r="J269" s="152"/>
      <c r="K269" s="152"/>
      <c r="L269" s="11"/>
      <c r="M269" s="152"/>
      <c r="N269" s="153">
        <f>N270</f>
        <v>0</v>
      </c>
      <c r="O269" s="154" t="e">
        <f>#REF!+N269</f>
        <v>#REF!</v>
      </c>
    </row>
    <row r="270" spans="1:15" ht="36.75" hidden="1" customHeight="1" x14ac:dyDescent="0.3">
      <c r="A270" s="174" t="s">
        <v>760</v>
      </c>
      <c r="B270" s="99" t="s">
        <v>76</v>
      </c>
      <c r="C270" s="67" t="s">
        <v>762</v>
      </c>
      <c r="D270" s="79" t="s">
        <v>137</v>
      </c>
      <c r="E270" s="67">
        <v>150</v>
      </c>
      <c r="F270" s="152"/>
      <c r="G270" s="164"/>
      <c r="H270" s="160"/>
      <c r="I270" s="160"/>
      <c r="J270" s="152"/>
      <c r="K270" s="160"/>
      <c r="L270" s="13"/>
      <c r="M270" s="160"/>
      <c r="N270" s="161"/>
      <c r="O270" s="157" t="e">
        <f>#REF!+N270</f>
        <v>#REF!</v>
      </c>
    </row>
    <row r="271" spans="1:15" ht="53.25" customHeight="1" x14ac:dyDescent="0.25">
      <c r="A271" s="171" t="s">
        <v>586</v>
      </c>
      <c r="B271" s="16" t="s">
        <v>9</v>
      </c>
      <c r="C271" s="10" t="s">
        <v>756</v>
      </c>
      <c r="D271" s="27" t="s">
        <v>137</v>
      </c>
      <c r="E271" s="27" t="s">
        <v>705</v>
      </c>
      <c r="F271" s="152"/>
      <c r="G271" s="531">
        <f>G272</f>
        <v>-3558.5</v>
      </c>
      <c r="H271" s="531">
        <f>H272+H275</f>
        <v>-732.22</v>
      </c>
      <c r="I271" s="152"/>
      <c r="J271" s="531">
        <f>J272</f>
        <v>4289.3060000000005</v>
      </c>
      <c r="K271" s="636">
        <f>K272</f>
        <v>-300</v>
      </c>
      <c r="L271" s="153"/>
      <c r="M271" s="153"/>
      <c r="N271" s="153"/>
      <c r="O271" s="592">
        <f>O272+O275++O273+O274</f>
        <v>-5180.8164099999995</v>
      </c>
    </row>
    <row r="272" spans="1:15" ht="53.25" customHeight="1" x14ac:dyDescent="0.25">
      <c r="A272" s="172" t="s">
        <v>586</v>
      </c>
      <c r="B272" s="15" t="s">
        <v>76</v>
      </c>
      <c r="C272" s="17" t="s">
        <v>763</v>
      </c>
      <c r="D272" s="381" t="s">
        <v>137</v>
      </c>
      <c r="E272" s="381" t="s">
        <v>705</v>
      </c>
      <c r="F272" s="152"/>
      <c r="G272" s="478">
        <v>-3558.5</v>
      </c>
      <c r="H272" s="471">
        <f>-732.22+1.414</f>
        <v>-730.80600000000004</v>
      </c>
      <c r="I272" s="160"/>
      <c r="J272" s="472">
        <f>730.806+3558.5</f>
        <v>4289.3060000000005</v>
      </c>
      <c r="K272" s="637">
        <v>-300</v>
      </c>
      <c r="L272" s="153"/>
      <c r="M272" s="161"/>
      <c r="N272" s="161"/>
      <c r="O272" s="480">
        <f>SUM(G272:N272)</f>
        <v>-300</v>
      </c>
    </row>
    <row r="273" spans="1:15" ht="53.25" customHeight="1" x14ac:dyDescent="0.25">
      <c r="A273" s="466" t="s">
        <v>1193</v>
      </c>
      <c r="B273" s="467" t="s">
        <v>76</v>
      </c>
      <c r="C273" s="468" t="s">
        <v>1195</v>
      </c>
      <c r="D273" s="469" t="s">
        <v>137</v>
      </c>
      <c r="E273" s="469" t="s">
        <v>705</v>
      </c>
      <c r="F273" s="470"/>
      <c r="G273" s="537"/>
      <c r="H273" s="537"/>
      <c r="I273" s="444"/>
      <c r="J273" s="537">
        <v>-4148.5889900000002</v>
      </c>
      <c r="K273" s="636"/>
      <c r="L273" s="153"/>
      <c r="M273" s="161"/>
      <c r="N273" s="161"/>
      <c r="O273" s="480">
        <f t="shared" ref="O273:O274" si="94">SUM(G273:N273)</f>
        <v>-4148.5889900000002</v>
      </c>
    </row>
    <row r="274" spans="1:15" ht="34.5" customHeight="1" x14ac:dyDescent="0.25">
      <c r="A274" s="466" t="s">
        <v>1194</v>
      </c>
      <c r="B274" s="467" t="s">
        <v>76</v>
      </c>
      <c r="C274" s="468" t="s">
        <v>1186</v>
      </c>
      <c r="D274" s="469" t="s">
        <v>137</v>
      </c>
      <c r="E274" s="469" t="s">
        <v>705</v>
      </c>
      <c r="F274" s="470"/>
      <c r="G274" s="537"/>
      <c r="H274" s="537"/>
      <c r="I274" s="444"/>
      <c r="J274" s="537">
        <f>-730.81342</f>
        <v>-730.81341999999995</v>
      </c>
      <c r="K274" s="636"/>
      <c r="L274" s="153"/>
      <c r="M274" s="161"/>
      <c r="N274" s="161"/>
      <c r="O274" s="480">
        <f t="shared" si="94"/>
        <v>-730.81341999999995</v>
      </c>
    </row>
    <row r="275" spans="1:15" ht="51.75" customHeight="1" x14ac:dyDescent="0.25">
      <c r="A275" s="172" t="s">
        <v>586</v>
      </c>
      <c r="B275" s="15" t="s">
        <v>22</v>
      </c>
      <c r="C275" s="17" t="s">
        <v>763</v>
      </c>
      <c r="D275" s="381" t="s">
        <v>137</v>
      </c>
      <c r="E275" s="381" t="s">
        <v>705</v>
      </c>
      <c r="F275" s="152"/>
      <c r="G275" s="529"/>
      <c r="H275" s="529">
        <f>-1.414</f>
        <v>-1.4139999999999999</v>
      </c>
      <c r="I275" s="11"/>
      <c r="J275" s="531"/>
      <c r="K275" s="635"/>
      <c r="L275" s="153"/>
      <c r="M275" s="11"/>
      <c r="N275" s="153"/>
      <c r="O275" s="480">
        <f>SUM(G275:N275)</f>
        <v>-1.4139999999999999</v>
      </c>
    </row>
    <row r="276" spans="1:15" ht="15" x14ac:dyDescent="0.25">
      <c r="A276" s="123"/>
      <c r="B276" s="124"/>
      <c r="C276" s="124"/>
      <c r="D276" s="124"/>
      <c r="E276" s="124"/>
      <c r="F276" s="124"/>
      <c r="G276" s="222"/>
      <c r="H276" s="119"/>
      <c r="I276" s="119"/>
      <c r="J276" s="463"/>
      <c r="K276" s="638"/>
    </row>
    <row r="277" spans="1:15" x14ac:dyDescent="0.25">
      <c r="A277" s="120"/>
      <c r="B277" s="121"/>
      <c r="C277" s="121"/>
      <c r="D277" s="121"/>
      <c r="E277" s="121"/>
      <c r="F277" s="121"/>
      <c r="G277" s="223"/>
      <c r="H277" s="119"/>
      <c r="I277" s="119"/>
      <c r="J277" s="463"/>
      <c r="K277" s="638"/>
    </row>
    <row r="278" spans="1:15" x14ac:dyDescent="0.25">
      <c r="A278" s="123"/>
      <c r="B278" s="124"/>
      <c r="C278" s="124"/>
      <c r="D278" s="124"/>
      <c r="E278" s="124"/>
      <c r="F278" s="124"/>
      <c r="G278" s="223"/>
      <c r="H278" s="122"/>
      <c r="I278" s="122"/>
      <c r="J278" s="464"/>
      <c r="K278" s="639"/>
    </row>
    <row r="279" spans="1:15" ht="15" x14ac:dyDescent="0.25">
      <c r="A279" s="123"/>
      <c r="B279" s="124"/>
      <c r="C279" s="124"/>
      <c r="D279" s="124"/>
      <c r="E279" s="124"/>
      <c r="F279" s="124"/>
      <c r="G279" s="222"/>
    </row>
  </sheetData>
  <autoFilter ref="A11:K275">
    <filterColumn colId="6">
      <filters>
        <filter val="1 021,0"/>
        <filter val="1 079,2"/>
        <filter val="1 265,0"/>
        <filter val="1 331,0"/>
        <filter val="1 415,5"/>
        <filter val="1 421,5"/>
        <filter val="1 511,0"/>
        <filter val="1 527,8"/>
        <filter val="1 685,0"/>
        <filter val="1 987,6"/>
        <filter val="105 623,0"/>
        <filter val="11 171,2"/>
        <filter val="112,5"/>
        <filter val="121,3"/>
        <filter val="129 556,0"/>
        <filter val="129 805,5"/>
        <filter val="140,0"/>
        <filter val="15 190,2"/>
        <filter val="15 370,0"/>
        <filter val="155 396,6"/>
        <filter val="157 683,3"/>
        <filter val="16 555,5"/>
        <filter val="17 657,9"/>
        <filter val="190 486,3"/>
        <filter val="2 020,6"/>
        <filter val="2 192,5"/>
        <filter val="2 286,7"/>
        <filter val="2,1"/>
        <filter val="2,7"/>
        <filter val="-216,5"/>
        <filter val="220,7"/>
        <filter val="24 496,8"/>
        <filter val="24 569,8"/>
        <filter val="24 820,0"/>
        <filter val="246,0"/>
        <filter val="25 167,2"/>
        <filter val="25 700,6"/>
        <filter val="26 593,0"/>
        <filter val="262,0"/>
        <filter val="27 623,8"/>
        <filter val="27 875,3"/>
        <filter val="29 323,0"/>
        <filter val="3 290,7"/>
        <filter val="3 548,4"/>
        <filter val="3 848,4"/>
        <filter val="30,0"/>
        <filter val="30,8"/>
        <filter val="300,0"/>
        <filter val="315,0"/>
        <filter val="336,0"/>
        <filter val="360,0"/>
        <filter val="365,0"/>
        <filter val="37,7"/>
        <filter val="4 892,3"/>
        <filter val="4 902,3"/>
        <filter val="4,6"/>
        <filter val="408,0"/>
        <filter val="414,5"/>
        <filter val="427,5"/>
        <filter val="442 470,2"/>
        <filter val="442 830,2"/>
        <filter val="5 143,0"/>
        <filter val="5 147,6"/>
        <filter val="5 384,3"/>
        <filter val="501,1"/>
        <filter val="55,0"/>
        <filter val="567,4"/>
        <filter val="597,4"/>
        <filter val="6 381,3"/>
        <filter val="6 929,0"/>
        <filter val="600,0"/>
        <filter val="62,1"/>
        <filter val="665,0"/>
        <filter val="7 608,0"/>
        <filter val="73,0"/>
        <filter val="765,9"/>
        <filter val="8 538,1"/>
        <filter val="8,6"/>
        <filter val="836,0"/>
        <filter val="87 784,6"/>
        <filter val="88 588,2"/>
        <filter val="89,5"/>
        <filter val="9 200,7"/>
        <filter val="9 450,0"/>
      </filters>
    </filterColumn>
  </autoFilter>
  <mergeCells count="3">
    <mergeCell ref="A6:K6"/>
    <mergeCell ref="B8:E8"/>
    <mergeCell ref="B9:E9"/>
  </mergeCells>
  <pageMargins left="0.70866141732283472" right="0.39370078740157483" top="0.55118110236220474" bottom="0.43307086614173229" header="0.31496062992125984" footer="0.31496062992125984"/>
  <pageSetup paperSize="9" scale="53" fitToHeight="4" orientation="portrait" r:id="rId1"/>
  <rowBreaks count="2" manualBreakCount="2">
    <brk id="46" max="14" man="1"/>
    <brk id="127" max="14" man="1"/>
  </rowBreaks>
  <colBreaks count="1" manualBreakCount="1">
    <brk id="7" max="2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8"/>
    <pageSetUpPr fitToPage="1"/>
  </sheetPr>
  <dimension ref="A1:G63"/>
  <sheetViews>
    <sheetView view="pageBreakPreview" topLeftCell="C1" zoomScaleNormal="100" zoomScaleSheetLayoutView="100" workbookViewId="0">
      <selection activeCell="C7" sqref="C7:G7"/>
    </sheetView>
  </sheetViews>
  <sheetFormatPr defaultColWidth="9.140625" defaultRowHeight="15.75" outlineLevelRow="1" x14ac:dyDescent="0.25"/>
  <cols>
    <col min="1" max="2" width="0" style="6" hidden="1" customWidth="1"/>
    <col min="3" max="3" width="92" style="293" customWidth="1"/>
    <col min="4" max="4" width="13.42578125" style="294" customWidth="1"/>
    <col min="5" max="5" width="11.85546875" style="294" customWidth="1"/>
    <col min="6" max="6" width="17.28515625" style="377" customWidth="1"/>
    <col min="7" max="7" width="19" style="377" customWidth="1"/>
    <col min="8" max="16384" width="9.140625" style="48"/>
  </cols>
  <sheetData>
    <row r="1" spans="1:7" s="95" customFormat="1" x14ac:dyDescent="0.25">
      <c r="A1" s="3"/>
      <c r="B1" s="3"/>
      <c r="D1" s="68"/>
      <c r="E1" s="68"/>
      <c r="F1" s="378"/>
      <c r="G1" s="378" t="s">
        <v>503</v>
      </c>
    </row>
    <row r="2" spans="1:7" s="95" customFormat="1" x14ac:dyDescent="0.25">
      <c r="A2" s="3"/>
      <c r="B2" s="3"/>
      <c r="D2" s="68"/>
      <c r="E2" s="69"/>
      <c r="F2" s="378"/>
      <c r="G2" s="378" t="s">
        <v>587</v>
      </c>
    </row>
    <row r="3" spans="1:7" s="95" customFormat="1" x14ac:dyDescent="0.25">
      <c r="A3" s="3"/>
      <c r="B3" s="3"/>
      <c r="D3" s="68"/>
      <c r="E3"/>
      <c r="F3" s="378"/>
      <c r="G3" s="378" t="s">
        <v>2</v>
      </c>
    </row>
    <row r="4" spans="1:7" s="95" customFormat="1" ht="18" customHeight="1" x14ac:dyDescent="0.25">
      <c r="A4" s="3"/>
      <c r="B4" s="3"/>
      <c r="D4" s="68"/>
      <c r="E4" s="704"/>
      <c r="F4" s="704"/>
      <c r="G4" s="297" t="s">
        <v>1083</v>
      </c>
    </row>
    <row r="5" spans="1:7" s="95" customFormat="1" ht="15.6" x14ac:dyDescent="0.3">
      <c r="A5" s="3"/>
      <c r="B5" s="3"/>
      <c r="C5" s="290"/>
      <c r="D5" s="291"/>
      <c r="E5" s="291"/>
      <c r="F5" s="292"/>
      <c r="G5" s="292"/>
    </row>
    <row r="6" spans="1:7" s="95" customFormat="1" x14ac:dyDescent="0.25">
      <c r="A6" s="3"/>
      <c r="B6" s="3"/>
      <c r="C6" s="705" t="s">
        <v>134</v>
      </c>
      <c r="D6" s="705"/>
      <c r="E6" s="705"/>
      <c r="F6" s="706"/>
      <c r="G6" s="706"/>
    </row>
    <row r="7" spans="1:7" s="95" customFormat="1" ht="15.75" customHeight="1" x14ac:dyDescent="0.25">
      <c r="A7" s="3"/>
      <c r="B7" s="3"/>
      <c r="C7" s="707" t="s">
        <v>1122</v>
      </c>
      <c r="D7" s="707"/>
      <c r="E7" s="707"/>
      <c r="F7" s="708"/>
      <c r="G7" s="708"/>
    </row>
    <row r="8" spans="1:7" s="95" customFormat="1" ht="30.75" customHeight="1" x14ac:dyDescent="0.25">
      <c r="A8" s="3"/>
      <c r="B8" s="3"/>
      <c r="C8" s="290" t="s">
        <v>1005</v>
      </c>
      <c r="D8" s="291"/>
      <c r="E8" s="291"/>
      <c r="F8" s="292"/>
      <c r="G8" s="298" t="s">
        <v>1006</v>
      </c>
    </row>
    <row r="9" spans="1:7" s="95" customFormat="1" ht="28.5" customHeight="1" x14ac:dyDescent="0.25">
      <c r="A9" s="3"/>
      <c r="B9" s="3"/>
      <c r="C9" s="709" t="s">
        <v>584</v>
      </c>
      <c r="D9" s="711" t="s">
        <v>203</v>
      </c>
      <c r="E9" s="711" t="s">
        <v>204</v>
      </c>
      <c r="F9" s="713" t="s">
        <v>933</v>
      </c>
      <c r="G9" s="713" t="s">
        <v>1120</v>
      </c>
    </row>
    <row r="10" spans="1:7" s="95" customFormat="1" ht="21.75" hidden="1" customHeight="1" x14ac:dyDescent="0.3">
      <c r="A10" s="3"/>
      <c r="B10" s="3"/>
      <c r="C10" s="710"/>
      <c r="D10" s="712"/>
      <c r="E10" s="712"/>
      <c r="F10" s="714"/>
      <c r="G10" s="714"/>
    </row>
    <row r="11" spans="1:7" s="96" customFormat="1" x14ac:dyDescent="0.25">
      <c r="A11" s="5" t="s">
        <v>137</v>
      </c>
      <c r="B11" s="5" t="s">
        <v>138</v>
      </c>
      <c r="C11" s="89" t="s">
        <v>138</v>
      </c>
      <c r="D11" s="90" t="s">
        <v>10</v>
      </c>
      <c r="E11" s="90" t="s">
        <v>10</v>
      </c>
      <c r="F11" s="134">
        <f>F12+F21+F23+F26+F37+F41+F48+F50+F54+F57+F59+F32</f>
        <v>846394.44</v>
      </c>
      <c r="G11" s="134">
        <f>G12+G23+G26+G41+G48+G50+G54+G59+G57+G32+G37</f>
        <v>637085.82999999996</v>
      </c>
    </row>
    <row r="12" spans="1:7" s="96" customFormat="1" x14ac:dyDescent="0.25">
      <c r="A12" s="5" t="s">
        <v>139</v>
      </c>
      <c r="B12" s="5" t="s">
        <v>23</v>
      </c>
      <c r="C12" s="89" t="s">
        <v>23</v>
      </c>
      <c r="D12" s="90" t="s">
        <v>14</v>
      </c>
      <c r="E12" s="90" t="s">
        <v>10</v>
      </c>
      <c r="F12" s="134">
        <f>SUM(F13:F20)</f>
        <v>72108.342499999999</v>
      </c>
      <c r="G12" s="134">
        <f>SUM(G13:G20)</f>
        <v>76655.445000000007</v>
      </c>
    </row>
    <row r="13" spans="1:7" ht="31.5" x14ac:dyDescent="0.25">
      <c r="A13" s="6" t="s">
        <v>140</v>
      </c>
      <c r="B13" s="6" t="s">
        <v>102</v>
      </c>
      <c r="C13" s="92" t="s">
        <v>102</v>
      </c>
      <c r="D13" s="93" t="s">
        <v>14</v>
      </c>
      <c r="E13" s="93" t="s">
        <v>36</v>
      </c>
      <c r="F13" s="135">
        <f>прил15!U321</f>
        <v>1479.3</v>
      </c>
      <c r="G13" s="135">
        <f>прил15!V321</f>
        <v>1479.3</v>
      </c>
    </row>
    <row r="14" spans="1:7" ht="31.5" x14ac:dyDescent="0.25">
      <c r="C14" s="78" t="s">
        <v>104</v>
      </c>
      <c r="D14" s="93" t="s">
        <v>14</v>
      </c>
      <c r="E14" s="93" t="s">
        <v>20</v>
      </c>
      <c r="F14" s="135">
        <f>прил15!U722</f>
        <v>401.6</v>
      </c>
      <c r="G14" s="135">
        <f>прил15!V722</f>
        <v>401.6</v>
      </c>
    </row>
    <row r="15" spans="1:7" ht="47.25" x14ac:dyDescent="0.25">
      <c r="A15" s="6" t="s">
        <v>141</v>
      </c>
      <c r="B15" s="6" t="s">
        <v>24</v>
      </c>
      <c r="C15" s="92" t="s">
        <v>24</v>
      </c>
      <c r="D15" s="93" t="s">
        <v>14</v>
      </c>
      <c r="E15" s="93" t="s">
        <v>25</v>
      </c>
      <c r="F15" s="135">
        <f>прил15!U15+прил15!U161+прил15!U266+прил15!U326</f>
        <v>39712.26</v>
      </c>
      <c r="G15" s="135">
        <f>прил15!V15+прил15!V161+прил15!V266+прил15!V326</f>
        <v>39458.26</v>
      </c>
    </row>
    <row r="16" spans="1:7" x14ac:dyDescent="0.25">
      <c r="C16" s="92" t="s">
        <v>656</v>
      </c>
      <c r="D16" s="93" t="s">
        <v>14</v>
      </c>
      <c r="E16" s="93" t="s">
        <v>58</v>
      </c>
      <c r="F16" s="135">
        <f>прил15!U357</f>
        <v>1.3</v>
      </c>
      <c r="G16" s="135">
        <f>прил15!V357</f>
        <v>1.1000000000000001</v>
      </c>
    </row>
    <row r="17" spans="1:7" ht="31.5" x14ac:dyDescent="0.25">
      <c r="A17" s="6" t="s">
        <v>142</v>
      </c>
      <c r="B17" s="6" t="s">
        <v>108</v>
      </c>
      <c r="C17" s="92" t="s">
        <v>108</v>
      </c>
      <c r="D17" s="93" t="s">
        <v>14</v>
      </c>
      <c r="E17" s="93" t="s">
        <v>90</v>
      </c>
      <c r="F17" s="135">
        <f>прил15!U733</f>
        <v>1391.3</v>
      </c>
      <c r="G17" s="135">
        <f>прил15!V733</f>
        <v>1391.3</v>
      </c>
    </row>
    <row r="18" spans="1:7" ht="15.75" hidden="1" customHeight="1" outlineLevel="1" x14ac:dyDescent="0.3">
      <c r="C18" s="92" t="s">
        <v>863</v>
      </c>
      <c r="D18" s="93" t="s">
        <v>14</v>
      </c>
      <c r="E18" s="93" t="s">
        <v>31</v>
      </c>
      <c r="F18" s="135">
        <f>прил15!U361</f>
        <v>0</v>
      </c>
      <c r="G18" s="135">
        <f>прил15!V361</f>
        <v>0</v>
      </c>
    </row>
    <row r="19" spans="1:7" collapsed="1" x14ac:dyDescent="0.25">
      <c r="A19" s="6" t="s">
        <v>143</v>
      </c>
      <c r="B19" s="6" t="s">
        <v>50</v>
      </c>
      <c r="C19" s="92" t="s">
        <v>50</v>
      </c>
      <c r="D19" s="93" t="s">
        <v>14</v>
      </c>
      <c r="E19" s="93" t="s">
        <v>51</v>
      </c>
      <c r="F19" s="135">
        <f>прил15!U170</f>
        <v>100</v>
      </c>
      <c r="G19" s="135">
        <f>прил15!V170</f>
        <v>100</v>
      </c>
    </row>
    <row r="20" spans="1:7" x14ac:dyDescent="0.25">
      <c r="A20" s="6" t="s">
        <v>144</v>
      </c>
      <c r="B20" s="6" t="s">
        <v>27</v>
      </c>
      <c r="C20" s="92" t="s">
        <v>27</v>
      </c>
      <c r="D20" s="93" t="s">
        <v>14</v>
      </c>
      <c r="E20" s="93" t="s">
        <v>28</v>
      </c>
      <c r="F20" s="135">
        <f>прил15!U175+прил15!U275+прил15!U366+прил15!U727+прил15!U741</f>
        <v>29022.582499999997</v>
      </c>
      <c r="G20" s="135">
        <f>прил15!V175+прил15!V275+прил15!V366+прил15!V727+прил15!V741</f>
        <v>33823.885000000002</v>
      </c>
    </row>
    <row r="21" spans="1:7" s="96" customFormat="1" ht="15.75" hidden="1" customHeight="1" outlineLevel="1" x14ac:dyDescent="0.3">
      <c r="A21" s="5" t="s">
        <v>145</v>
      </c>
      <c r="B21" s="5" t="s">
        <v>54</v>
      </c>
      <c r="C21" s="89" t="s">
        <v>54</v>
      </c>
      <c r="D21" s="90" t="s">
        <v>36</v>
      </c>
      <c r="E21" s="90" t="s">
        <v>10</v>
      </c>
      <c r="F21" s="134">
        <f>F22</f>
        <v>0</v>
      </c>
      <c r="G21" s="134">
        <f>G22</f>
        <v>0</v>
      </c>
    </row>
    <row r="22" spans="1:7" ht="15.75" hidden="1" customHeight="1" outlineLevel="1" x14ac:dyDescent="0.3">
      <c r="A22" s="6" t="s">
        <v>146</v>
      </c>
      <c r="B22" s="6" t="s">
        <v>55</v>
      </c>
      <c r="C22" s="92" t="s">
        <v>55</v>
      </c>
      <c r="D22" s="93" t="s">
        <v>36</v>
      </c>
      <c r="E22" s="93" t="s">
        <v>20</v>
      </c>
      <c r="F22" s="135">
        <f>прил15!U190</f>
        <v>0</v>
      </c>
      <c r="G22" s="135">
        <f>прил15!V190</f>
        <v>0</v>
      </c>
    </row>
    <row r="23" spans="1:7" s="96" customFormat="1" collapsed="1" x14ac:dyDescent="0.25">
      <c r="A23" s="5" t="s">
        <v>147</v>
      </c>
      <c r="B23" s="5" t="s">
        <v>80</v>
      </c>
      <c r="C23" s="89" t="s">
        <v>80</v>
      </c>
      <c r="D23" s="90" t="s">
        <v>20</v>
      </c>
      <c r="E23" s="90" t="s">
        <v>10</v>
      </c>
      <c r="F23" s="134">
        <f>F24+F25</f>
        <v>1536.8</v>
      </c>
      <c r="G23" s="134">
        <f>G24+G25</f>
        <v>1536.8</v>
      </c>
    </row>
    <row r="24" spans="1:7" ht="31.5" x14ac:dyDescent="0.25">
      <c r="A24" s="6" t="s">
        <v>148</v>
      </c>
      <c r="B24" s="6" t="s">
        <v>81</v>
      </c>
      <c r="C24" s="92" t="s">
        <v>891</v>
      </c>
      <c r="D24" s="93" t="s">
        <v>20</v>
      </c>
      <c r="E24" s="93" t="s">
        <v>18</v>
      </c>
      <c r="F24" s="135">
        <f>прил15!U419</f>
        <v>1534.3</v>
      </c>
      <c r="G24" s="135">
        <f>прил15!V419</f>
        <v>1534.3</v>
      </c>
    </row>
    <row r="25" spans="1:7" ht="31.5" outlineLevel="1" x14ac:dyDescent="0.25">
      <c r="A25" s="6" t="s">
        <v>149</v>
      </c>
      <c r="B25" s="6" t="s">
        <v>83</v>
      </c>
      <c r="C25" s="92" t="s">
        <v>83</v>
      </c>
      <c r="D25" s="93" t="s">
        <v>20</v>
      </c>
      <c r="E25" s="93" t="s">
        <v>63</v>
      </c>
      <c r="F25" s="135">
        <f>прил15!U428</f>
        <v>2.5</v>
      </c>
      <c r="G25" s="135">
        <f>прил15!V428</f>
        <v>2.5</v>
      </c>
    </row>
    <row r="26" spans="1:7" s="96" customFormat="1" x14ac:dyDescent="0.25">
      <c r="A26" s="5" t="s">
        <v>150</v>
      </c>
      <c r="B26" s="5" t="s">
        <v>72</v>
      </c>
      <c r="C26" s="89" t="s">
        <v>72</v>
      </c>
      <c r="D26" s="90" t="s">
        <v>25</v>
      </c>
      <c r="E26" s="90" t="s">
        <v>10</v>
      </c>
      <c r="F26" s="134">
        <f>SUM(F27:F31)</f>
        <v>239635.30000000002</v>
      </c>
      <c r="G26" s="134">
        <f>SUM(G27:G31)</f>
        <v>26838.2</v>
      </c>
    </row>
    <row r="27" spans="1:7" x14ac:dyDescent="0.25">
      <c r="C27" s="92" t="s">
        <v>1038</v>
      </c>
      <c r="D27" s="93" t="s">
        <v>25</v>
      </c>
      <c r="E27" s="93" t="s">
        <v>14</v>
      </c>
      <c r="F27" s="135">
        <f>прил15!U22</f>
        <v>592</v>
      </c>
      <c r="G27" s="135">
        <f>прил15!V22</f>
        <v>592</v>
      </c>
    </row>
    <row r="28" spans="1:7" x14ac:dyDescent="0.25">
      <c r="A28" s="6" t="s">
        <v>151</v>
      </c>
      <c r="B28" s="6" t="s">
        <v>111</v>
      </c>
      <c r="C28" s="92" t="s">
        <v>111</v>
      </c>
      <c r="D28" s="93" t="s">
        <v>25</v>
      </c>
      <c r="E28" s="93" t="s">
        <v>58</v>
      </c>
      <c r="F28" s="135">
        <f>прил15!U434</f>
        <v>135.9</v>
      </c>
      <c r="G28" s="135">
        <f>прил15!V434</f>
        <v>58.5</v>
      </c>
    </row>
    <row r="29" spans="1:7" outlineLevel="1" x14ac:dyDescent="0.25">
      <c r="C29" s="78" t="s">
        <v>518</v>
      </c>
      <c r="D29" s="93" t="s">
        <v>25</v>
      </c>
      <c r="E29" s="93" t="s">
        <v>12</v>
      </c>
      <c r="F29" s="135">
        <f>прил15!U451</f>
        <v>2892.2</v>
      </c>
      <c r="G29" s="135">
        <f>прил15!V451</f>
        <v>3192.2</v>
      </c>
    </row>
    <row r="30" spans="1:7" x14ac:dyDescent="0.25">
      <c r="A30" s="6" t="s">
        <v>152</v>
      </c>
      <c r="B30" s="6" t="s">
        <v>85</v>
      </c>
      <c r="C30" s="92" t="s">
        <v>85</v>
      </c>
      <c r="D30" s="93" t="s">
        <v>25</v>
      </c>
      <c r="E30" s="93" t="s">
        <v>44</v>
      </c>
      <c r="F30" s="135">
        <f>прил15!U457</f>
        <v>235955.30000000002</v>
      </c>
      <c r="G30" s="135">
        <f>прил15!V457</f>
        <v>22935.599999999999</v>
      </c>
    </row>
    <row r="31" spans="1:7" outlineLevel="1" x14ac:dyDescent="0.25">
      <c r="A31" s="6" t="s">
        <v>153</v>
      </c>
      <c r="B31" s="6" t="s">
        <v>73</v>
      </c>
      <c r="C31" s="92" t="s">
        <v>73</v>
      </c>
      <c r="D31" s="93" t="s">
        <v>25</v>
      </c>
      <c r="E31" s="93" t="s">
        <v>74</v>
      </c>
      <c r="F31" s="135">
        <f>прил15!U287+прил15!U502</f>
        <v>59.9</v>
      </c>
      <c r="G31" s="135">
        <f>прил15!V287+прил15!V502</f>
        <v>59.9</v>
      </c>
    </row>
    <row r="32" spans="1:7" s="96" customFormat="1" outlineLevel="1" x14ac:dyDescent="0.25">
      <c r="A32" s="5"/>
      <c r="B32" s="5"/>
      <c r="C32" s="89" t="s">
        <v>351</v>
      </c>
      <c r="D32" s="90" t="s">
        <v>58</v>
      </c>
      <c r="E32" s="90" t="s">
        <v>10</v>
      </c>
      <c r="F32" s="134">
        <f>F33+F35+F36+F34</f>
        <v>157.5</v>
      </c>
      <c r="G32" s="134">
        <f>G33+G35+G36+G34</f>
        <v>363</v>
      </c>
    </row>
    <row r="33" spans="1:7" outlineLevel="1" x14ac:dyDescent="0.25">
      <c r="C33" s="92" t="s">
        <v>582</v>
      </c>
      <c r="D33" s="93" t="s">
        <v>58</v>
      </c>
      <c r="E33" s="93" t="s">
        <v>14</v>
      </c>
      <c r="F33" s="135">
        <f>прил15!U195+прил15!U294+прил15!U518</f>
        <v>157.5</v>
      </c>
      <c r="G33" s="135">
        <f>прил15!V195+прил15!V294+прил15!V518</f>
        <v>363</v>
      </c>
    </row>
    <row r="34" spans="1:7" ht="15.75" hidden="1" customHeight="1" outlineLevel="1" x14ac:dyDescent="0.3">
      <c r="C34" s="89" t="s">
        <v>352</v>
      </c>
      <c r="D34" s="93" t="s">
        <v>58</v>
      </c>
      <c r="E34" s="93" t="s">
        <v>36</v>
      </c>
      <c r="F34" s="135">
        <f>прил15!U298+прил15!U522</f>
        <v>0</v>
      </c>
      <c r="G34" s="135">
        <f>прил15!V298+прил15!V522</f>
        <v>0</v>
      </c>
    </row>
    <row r="35" spans="1:7" ht="15.75" hidden="1" customHeight="1" outlineLevel="1" x14ac:dyDescent="0.3">
      <c r="C35" s="92" t="s">
        <v>649</v>
      </c>
      <c r="D35" s="93" t="s">
        <v>58</v>
      </c>
      <c r="E35" s="93" t="s">
        <v>20</v>
      </c>
      <c r="F35" s="135">
        <f>прил15!U199+прил15!U544</f>
        <v>0</v>
      </c>
      <c r="G35" s="135">
        <f>прил15!V199+прил15!V544</f>
        <v>0</v>
      </c>
    </row>
    <row r="36" spans="1:7" ht="15.75" hidden="1" customHeight="1" outlineLevel="1" x14ac:dyDescent="0.3">
      <c r="C36" s="92" t="s">
        <v>651</v>
      </c>
      <c r="D36" s="93" t="s">
        <v>58</v>
      </c>
      <c r="E36" s="93" t="s">
        <v>58</v>
      </c>
      <c r="F36" s="135">
        <f>прил15!U203</f>
        <v>0</v>
      </c>
      <c r="G36" s="135">
        <f>прил15!V203</f>
        <v>0</v>
      </c>
    </row>
    <row r="37" spans="1:7" s="96" customFormat="1" outlineLevel="1" x14ac:dyDescent="0.25">
      <c r="A37" s="5" t="s">
        <v>154</v>
      </c>
      <c r="B37" s="5" t="s">
        <v>89</v>
      </c>
      <c r="C37" s="89" t="s">
        <v>89</v>
      </c>
      <c r="D37" s="90" t="s">
        <v>90</v>
      </c>
      <c r="E37" s="90" t="s">
        <v>10</v>
      </c>
      <c r="F37" s="134">
        <f>F38+F39+F40</f>
        <v>164.4</v>
      </c>
      <c r="G37" s="134">
        <f>G38+G39+G40</f>
        <v>164.4</v>
      </c>
    </row>
    <row r="38" spans="1:7" ht="15.75" hidden="1" customHeight="1" outlineLevel="1" x14ac:dyDescent="0.3">
      <c r="A38" s="6" t="s">
        <v>155</v>
      </c>
      <c r="B38" s="6" t="s">
        <v>91</v>
      </c>
      <c r="C38" s="92" t="s">
        <v>91</v>
      </c>
      <c r="D38" s="93" t="s">
        <v>90</v>
      </c>
      <c r="E38" s="93" t="s">
        <v>36</v>
      </c>
      <c r="F38" s="135">
        <f>прил15!U564</f>
        <v>0</v>
      </c>
      <c r="G38" s="135">
        <f>прил15!V564</f>
        <v>0</v>
      </c>
    </row>
    <row r="39" spans="1:7" ht="15.75" hidden="1" customHeight="1" outlineLevel="1" x14ac:dyDescent="0.3">
      <c r="A39" s="6" t="s">
        <v>156</v>
      </c>
      <c r="B39" s="6" t="s">
        <v>93</v>
      </c>
      <c r="C39" s="92" t="s">
        <v>93</v>
      </c>
      <c r="D39" s="93" t="s">
        <v>90</v>
      </c>
      <c r="E39" s="93" t="s">
        <v>20</v>
      </c>
      <c r="F39" s="135">
        <f>прил15!U570</f>
        <v>0</v>
      </c>
      <c r="G39" s="135">
        <f>прил15!V570</f>
        <v>0</v>
      </c>
    </row>
    <row r="40" spans="1:7" outlineLevel="1" x14ac:dyDescent="0.25">
      <c r="C40" s="92" t="s">
        <v>1090</v>
      </c>
      <c r="D40" s="93" t="s">
        <v>90</v>
      </c>
      <c r="E40" s="93" t="s">
        <v>58</v>
      </c>
      <c r="F40" s="135">
        <f>прил15!U575</f>
        <v>164.4</v>
      </c>
      <c r="G40" s="135">
        <f>прил15!V575</f>
        <v>164.4</v>
      </c>
    </row>
    <row r="41" spans="1:7" s="96" customFormat="1" x14ac:dyDescent="0.25">
      <c r="A41" s="5" t="s">
        <v>157</v>
      </c>
      <c r="B41" s="5" t="s">
        <v>30</v>
      </c>
      <c r="C41" s="89" t="s">
        <v>30</v>
      </c>
      <c r="D41" s="90" t="s">
        <v>31</v>
      </c>
      <c r="E41" s="90" t="s">
        <v>10</v>
      </c>
      <c r="F41" s="134">
        <f>SUM(F42:F47)</f>
        <v>387673.21</v>
      </c>
      <c r="G41" s="134">
        <f>SUM(G42:G47)</f>
        <v>388792.20999999996</v>
      </c>
    </row>
    <row r="42" spans="1:7" x14ac:dyDescent="0.25">
      <c r="A42" s="6" t="s">
        <v>158</v>
      </c>
      <c r="B42" s="6" t="s">
        <v>32</v>
      </c>
      <c r="C42" s="92" t="s">
        <v>32</v>
      </c>
      <c r="D42" s="93" t="s">
        <v>31</v>
      </c>
      <c r="E42" s="93" t="s">
        <v>14</v>
      </c>
      <c r="F42" s="135">
        <f>прил15!U27</f>
        <v>86168.2</v>
      </c>
      <c r="G42" s="135">
        <f>прил15!V27</f>
        <v>84320</v>
      </c>
    </row>
    <row r="43" spans="1:7" x14ac:dyDescent="0.25">
      <c r="A43" s="6" t="s">
        <v>159</v>
      </c>
      <c r="B43" s="6" t="s">
        <v>35</v>
      </c>
      <c r="C43" s="92" t="s">
        <v>35</v>
      </c>
      <c r="D43" s="93" t="s">
        <v>31</v>
      </c>
      <c r="E43" s="93" t="s">
        <v>36</v>
      </c>
      <c r="F43" s="135">
        <f>прил15!U45</f>
        <v>249788.90000000002</v>
      </c>
      <c r="G43" s="135">
        <f>прил15!V45</f>
        <v>250373.7</v>
      </c>
    </row>
    <row r="44" spans="1:7" x14ac:dyDescent="0.25">
      <c r="A44" s="6" t="s">
        <v>160</v>
      </c>
      <c r="B44" s="6" t="s">
        <v>57</v>
      </c>
      <c r="C44" s="92" t="s">
        <v>516</v>
      </c>
      <c r="D44" s="93" t="s">
        <v>31</v>
      </c>
      <c r="E44" s="93" t="s">
        <v>20</v>
      </c>
      <c r="F44" s="135">
        <f>прил15!U93+прил15!U585</f>
        <v>40162.599999999991</v>
      </c>
      <c r="G44" s="135">
        <f>прил15!V93+прил15!V585</f>
        <v>42010.799999999996</v>
      </c>
    </row>
    <row r="45" spans="1:7" outlineLevel="1" x14ac:dyDescent="0.25">
      <c r="C45" s="92" t="s">
        <v>57</v>
      </c>
      <c r="D45" s="93" t="s">
        <v>31</v>
      </c>
      <c r="E45" s="93" t="s">
        <v>58</v>
      </c>
      <c r="F45" s="135">
        <f>прил15!U306+прил15!U593</f>
        <v>73.61</v>
      </c>
      <c r="G45" s="135">
        <f>прил15!V306+прил15!V593</f>
        <v>73.61</v>
      </c>
    </row>
    <row r="46" spans="1:7" x14ac:dyDescent="0.25">
      <c r="A46" s="6" t="s">
        <v>161</v>
      </c>
      <c r="B46" s="6" t="s">
        <v>40</v>
      </c>
      <c r="C46" s="92" t="s">
        <v>40</v>
      </c>
      <c r="D46" s="93" t="s">
        <v>31</v>
      </c>
      <c r="E46" s="93" t="s">
        <v>31</v>
      </c>
      <c r="F46" s="135">
        <f>прил15!U113+прил15!U600</f>
        <v>5</v>
      </c>
      <c r="G46" s="135">
        <f>прил15!V113+прил15!V600</f>
        <v>5</v>
      </c>
    </row>
    <row r="47" spans="1:7" x14ac:dyDescent="0.25">
      <c r="A47" s="6" t="s">
        <v>162</v>
      </c>
      <c r="B47" s="6" t="s">
        <v>43</v>
      </c>
      <c r="C47" s="92" t="s">
        <v>43</v>
      </c>
      <c r="D47" s="93" t="s">
        <v>31</v>
      </c>
      <c r="E47" s="93" t="s">
        <v>44</v>
      </c>
      <c r="F47" s="135">
        <f>прил15!U120</f>
        <v>11474.9</v>
      </c>
      <c r="G47" s="135">
        <f>прил15!V120</f>
        <v>12009.099999999999</v>
      </c>
    </row>
    <row r="48" spans="1:7" s="96" customFormat="1" x14ac:dyDescent="0.25">
      <c r="A48" s="5" t="s">
        <v>163</v>
      </c>
      <c r="B48" s="5" t="s">
        <v>11</v>
      </c>
      <c r="C48" s="89" t="s">
        <v>11</v>
      </c>
      <c r="D48" s="90" t="s">
        <v>12</v>
      </c>
      <c r="E48" s="90" t="s">
        <v>10</v>
      </c>
      <c r="F48" s="134">
        <f>F49</f>
        <v>51145.2</v>
      </c>
      <c r="G48" s="134">
        <f>G49</f>
        <v>51143.4</v>
      </c>
    </row>
    <row r="49" spans="1:7" x14ac:dyDescent="0.25">
      <c r="A49" s="6" t="s">
        <v>164</v>
      </c>
      <c r="B49" s="6" t="s">
        <v>13</v>
      </c>
      <c r="C49" s="92" t="s">
        <v>13</v>
      </c>
      <c r="D49" s="93" t="s">
        <v>12</v>
      </c>
      <c r="E49" s="93" t="s">
        <v>14</v>
      </c>
      <c r="F49" s="135">
        <f>прил15!U208+прил15!U608</f>
        <v>51145.2</v>
      </c>
      <c r="G49" s="135">
        <f>прил15!V208+прил15!V608</f>
        <v>51143.4</v>
      </c>
    </row>
    <row r="50" spans="1:7" s="96" customFormat="1" x14ac:dyDescent="0.25">
      <c r="A50" s="5" t="s">
        <v>165</v>
      </c>
      <c r="B50" s="5" t="s">
        <v>17</v>
      </c>
      <c r="C50" s="89" t="s">
        <v>17</v>
      </c>
      <c r="D50" s="90" t="s">
        <v>18</v>
      </c>
      <c r="E50" s="90" t="s">
        <v>10</v>
      </c>
      <c r="F50" s="134">
        <f>F51+F52+F53</f>
        <v>31567.587500000001</v>
      </c>
      <c r="G50" s="134">
        <f>G51+G52+G53</f>
        <v>29879.775000000001</v>
      </c>
    </row>
    <row r="51" spans="1:7" x14ac:dyDescent="0.25">
      <c r="A51" s="6" t="s">
        <v>166</v>
      </c>
      <c r="B51" s="6" t="s">
        <v>95</v>
      </c>
      <c r="C51" s="92" t="s">
        <v>95</v>
      </c>
      <c r="D51" s="93" t="s">
        <v>18</v>
      </c>
      <c r="E51" s="93" t="s">
        <v>14</v>
      </c>
      <c r="F51" s="135">
        <f>прил15!U638</f>
        <v>2128.8000000000002</v>
      </c>
      <c r="G51" s="135">
        <f>прил15!V638</f>
        <v>2128.8000000000002</v>
      </c>
    </row>
    <row r="52" spans="1:7" x14ac:dyDescent="0.25">
      <c r="A52" s="6" t="s">
        <v>167</v>
      </c>
      <c r="B52" s="6" t="s">
        <v>19</v>
      </c>
      <c r="C52" s="92" t="s">
        <v>19</v>
      </c>
      <c r="D52" s="93" t="s">
        <v>18</v>
      </c>
      <c r="E52" s="93" t="s">
        <v>20</v>
      </c>
      <c r="F52" s="135">
        <f>прил15!U139+прил15!U643</f>
        <v>10244.999999999998</v>
      </c>
      <c r="G52" s="135">
        <f>прил15!V139+прил15!V643</f>
        <v>10698.999999999998</v>
      </c>
    </row>
    <row r="53" spans="1:7" x14ac:dyDescent="0.25">
      <c r="A53" s="6" t="s">
        <v>168</v>
      </c>
      <c r="B53" s="6" t="s">
        <v>47</v>
      </c>
      <c r="C53" s="92" t="s">
        <v>47</v>
      </c>
      <c r="D53" s="93" t="s">
        <v>18</v>
      </c>
      <c r="E53" s="93" t="s">
        <v>25</v>
      </c>
      <c r="F53" s="135">
        <f>прил15!U145+прил15!U214+прил15!U314+прил15!U655</f>
        <v>19193.787500000002</v>
      </c>
      <c r="G53" s="135">
        <f>прил15!V145+прил15!V214+прил15!V314+прил15!V655</f>
        <v>17051.975000000002</v>
      </c>
    </row>
    <row r="54" spans="1:7" s="96" customFormat="1" x14ac:dyDescent="0.25">
      <c r="A54" s="5" t="s">
        <v>169</v>
      </c>
      <c r="B54" s="5" t="s">
        <v>97</v>
      </c>
      <c r="C54" s="89" t="s">
        <v>97</v>
      </c>
      <c r="D54" s="90" t="s">
        <v>51</v>
      </c>
      <c r="E54" s="90" t="s">
        <v>10</v>
      </c>
      <c r="F54" s="134">
        <f>F55+F56</f>
        <v>13388</v>
      </c>
      <c r="G54" s="134">
        <f>G55+G56</f>
        <v>13388</v>
      </c>
    </row>
    <row r="55" spans="1:7" x14ac:dyDescent="0.25">
      <c r="A55" s="6" t="s">
        <v>170</v>
      </c>
      <c r="B55" s="6" t="s">
        <v>98</v>
      </c>
      <c r="C55" s="92" t="s">
        <v>98</v>
      </c>
      <c r="D55" s="93" t="s">
        <v>51</v>
      </c>
      <c r="E55" s="93" t="s">
        <v>36</v>
      </c>
      <c r="F55" s="135">
        <f>прил15!U219+прил15!U689</f>
        <v>75</v>
      </c>
      <c r="G55" s="135">
        <f>прил15!V219+прил15!V689</f>
        <v>75</v>
      </c>
    </row>
    <row r="56" spans="1:7" x14ac:dyDescent="0.25">
      <c r="C56" s="92" t="s">
        <v>996</v>
      </c>
      <c r="D56" s="93" t="s">
        <v>51</v>
      </c>
      <c r="E56" s="93" t="s">
        <v>20</v>
      </c>
      <c r="F56" s="135">
        <f>прил15!U708</f>
        <v>13313</v>
      </c>
      <c r="G56" s="135">
        <f>прил15!V708</f>
        <v>13313</v>
      </c>
    </row>
    <row r="57" spans="1:7" s="96" customFormat="1" x14ac:dyDescent="0.25">
      <c r="A57" s="5" t="s">
        <v>171</v>
      </c>
      <c r="B57" s="5" t="s">
        <v>59</v>
      </c>
      <c r="C57" s="89" t="s">
        <v>59</v>
      </c>
      <c r="D57" s="90" t="s">
        <v>28</v>
      </c>
      <c r="E57" s="90" t="s">
        <v>10</v>
      </c>
      <c r="F57" s="134">
        <f>F58</f>
        <v>3700</v>
      </c>
      <c r="G57" s="134">
        <f>G58</f>
        <v>3700</v>
      </c>
    </row>
    <row r="58" spans="1:7" x14ac:dyDescent="0.25">
      <c r="A58" s="6" t="s">
        <v>172</v>
      </c>
      <c r="B58" s="6" t="s">
        <v>173</v>
      </c>
      <c r="C58" s="92" t="s">
        <v>173</v>
      </c>
      <c r="D58" s="93" t="s">
        <v>28</v>
      </c>
      <c r="E58" s="93" t="s">
        <v>14</v>
      </c>
      <c r="F58" s="135">
        <f>прил15!U224+прил15!U716</f>
        <v>3700</v>
      </c>
      <c r="G58" s="135">
        <f>прил15!V224+прил15!V716</f>
        <v>3700</v>
      </c>
    </row>
    <row r="59" spans="1:7" s="96" customFormat="1" ht="31.5" x14ac:dyDescent="0.25">
      <c r="A59" s="5" t="s">
        <v>174</v>
      </c>
      <c r="B59" s="5" t="s">
        <v>175</v>
      </c>
      <c r="C59" s="89" t="s">
        <v>175</v>
      </c>
      <c r="D59" s="90" t="s">
        <v>63</v>
      </c>
      <c r="E59" s="90" t="s">
        <v>10</v>
      </c>
      <c r="F59" s="134">
        <f>F60+F61</f>
        <v>45318.1</v>
      </c>
      <c r="G59" s="134">
        <f>G60+G61</f>
        <v>44624.6</v>
      </c>
    </row>
    <row r="60" spans="1:7" ht="31.5" x14ac:dyDescent="0.25">
      <c r="A60" s="6" t="s">
        <v>176</v>
      </c>
      <c r="B60" s="6" t="s">
        <v>177</v>
      </c>
      <c r="C60" s="92" t="s">
        <v>177</v>
      </c>
      <c r="D60" s="93" t="s">
        <v>63</v>
      </c>
      <c r="E60" s="93" t="s">
        <v>14</v>
      </c>
      <c r="F60" s="135">
        <f>прил15!U229</f>
        <v>5700</v>
      </c>
      <c r="G60" s="135">
        <f>прил15!V229</f>
        <v>5700</v>
      </c>
    </row>
    <row r="61" spans="1:7" x14ac:dyDescent="0.25">
      <c r="A61" s="6" t="s">
        <v>178</v>
      </c>
      <c r="B61" s="6" t="s">
        <v>67</v>
      </c>
      <c r="C61" s="92" t="s">
        <v>67</v>
      </c>
      <c r="D61" s="93" t="s">
        <v>63</v>
      </c>
      <c r="E61" s="93" t="s">
        <v>20</v>
      </c>
      <c r="F61" s="135">
        <f>прил15!U237</f>
        <v>39618.1</v>
      </c>
      <c r="G61" s="135">
        <f>прил15!V237</f>
        <v>38924.6</v>
      </c>
    </row>
    <row r="63" spans="1:7" x14ac:dyDescent="0.25">
      <c r="C63" s="702"/>
      <c r="D63" s="702"/>
      <c r="E63" s="702"/>
      <c r="F63" s="703"/>
      <c r="G63" s="299"/>
    </row>
  </sheetData>
  <autoFilter ref="A8:F61">
    <filterColumn colId="1" showButton="0"/>
    <filterColumn colId="5">
      <filters>
        <filter val="1 391,3"/>
        <filter val="1 479,3"/>
        <filter val="1 534,3"/>
        <filter val="1 536,8"/>
        <filter val="1,3"/>
        <filter val="10 245,0"/>
        <filter val="100,0"/>
        <filter val="11 474,9"/>
        <filter val="13 313,0"/>
        <filter val="13 388,0"/>
        <filter val="135,9"/>
        <filter val="157,5"/>
        <filter val="164,4"/>
        <filter val="19 193,8"/>
        <filter val="2 128,8"/>
        <filter val="2 892,2"/>
        <filter val="2,5"/>
        <filter val="2024 год"/>
        <filter val="235 955,3"/>
        <filter val="239 635,3"/>
        <filter val="249 788,9"/>
        <filter val="29 022,6"/>
        <filter val="3 700,0"/>
        <filter val="31 567,6"/>
        <filter val="387 673,2"/>
        <filter val="39 618,1"/>
        <filter val="39 712,3"/>
        <filter val="40 162,6"/>
        <filter val="401,6"/>
        <filter val="45 318,1"/>
        <filter val="5 700,0"/>
        <filter val="5,0"/>
        <filter val="51 145,2"/>
        <filter val="59,9"/>
        <filter val="592,0"/>
        <filter val="72 108,3"/>
        <filter val="73,6"/>
        <filter val="75,0"/>
        <filter val="846 394,4"/>
        <filter val="86 168,2"/>
      </filters>
    </filterColumn>
  </autoFilter>
  <mergeCells count="9">
    <mergeCell ref="C63:F63"/>
    <mergeCell ref="E4:F4"/>
    <mergeCell ref="C6:G6"/>
    <mergeCell ref="C7:G7"/>
    <mergeCell ref="C9:C10"/>
    <mergeCell ref="D9:D10"/>
    <mergeCell ref="E9:E10"/>
    <mergeCell ref="F9:F10"/>
    <mergeCell ref="G9:G10"/>
  </mergeCells>
  <pageMargins left="0.70866141732283472" right="0.39370078740157483" top="0.55118110236220474" bottom="0.43307086614173229" header="0.31496062992125984" footer="0.31496062992125984"/>
  <pageSetup paperSize="9" scale="5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8"/>
  </sheetPr>
  <dimension ref="A1:E270"/>
  <sheetViews>
    <sheetView view="pageBreakPreview" zoomScaleNormal="100" zoomScaleSheetLayoutView="100" workbookViewId="0">
      <selection activeCell="A135" sqref="A135:XFD136"/>
    </sheetView>
  </sheetViews>
  <sheetFormatPr defaultColWidth="9.140625" defaultRowHeight="15.75" outlineLevelRow="1" x14ac:dyDescent="0.25"/>
  <cols>
    <col min="1" max="1" width="87.85546875" style="58" customWidth="1"/>
    <col min="2" max="2" width="17.7109375" style="69" customWidth="1"/>
    <col min="3" max="3" width="12.7109375" style="58" customWidth="1"/>
    <col min="4" max="5" width="20.7109375" style="198" customWidth="1"/>
    <col min="6" max="16384" width="9.140625" style="8"/>
  </cols>
  <sheetData>
    <row r="1" spans="1:5" x14ac:dyDescent="0.25">
      <c r="D1" s="378"/>
      <c r="E1" s="378" t="s">
        <v>797</v>
      </c>
    </row>
    <row r="2" spans="1:5" x14ac:dyDescent="0.25">
      <c r="D2" s="378"/>
      <c r="E2" s="378" t="s">
        <v>587</v>
      </c>
    </row>
    <row r="3" spans="1:5" x14ac:dyDescent="0.25">
      <c r="D3" s="378"/>
      <c r="E3" s="378" t="s">
        <v>2</v>
      </c>
    </row>
    <row r="4" spans="1:5" x14ac:dyDescent="0.25">
      <c r="D4" s="196"/>
      <c r="E4" s="196" t="s">
        <v>1084</v>
      </c>
    </row>
    <row r="5" spans="1:5" ht="15.6" x14ac:dyDescent="0.3">
      <c r="C5" s="68"/>
    </row>
    <row r="6" spans="1:5" x14ac:dyDescent="0.25">
      <c r="A6" s="705" t="s">
        <v>134</v>
      </c>
      <c r="B6" s="705"/>
      <c r="C6" s="705"/>
      <c r="D6" s="706"/>
      <c r="E6" s="706"/>
    </row>
    <row r="7" spans="1:5" ht="30.75" customHeight="1" x14ac:dyDescent="0.25">
      <c r="A7" s="718" t="s">
        <v>1123</v>
      </c>
      <c r="B7" s="718"/>
      <c r="C7" s="718"/>
      <c r="D7" s="719"/>
      <c r="E7" s="719"/>
    </row>
    <row r="8" spans="1:5" x14ac:dyDescent="0.25">
      <c r="A8" s="97" t="s">
        <v>1010</v>
      </c>
      <c r="B8" s="98"/>
      <c r="C8" s="97"/>
      <c r="D8" s="261"/>
      <c r="E8" s="272" t="s">
        <v>1006</v>
      </c>
    </row>
    <row r="9" spans="1:5" s="73" customFormat="1" x14ac:dyDescent="0.25">
      <c r="A9" s="720" t="s">
        <v>3</v>
      </c>
      <c r="B9" s="722" t="s">
        <v>562</v>
      </c>
      <c r="C9" s="723"/>
      <c r="D9" s="777" t="s">
        <v>933</v>
      </c>
      <c r="E9" s="777" t="s">
        <v>1120</v>
      </c>
    </row>
    <row r="10" spans="1:5" s="73" customFormat="1" ht="31.5" x14ac:dyDescent="0.25">
      <c r="A10" s="721"/>
      <c r="B10" s="72" t="s">
        <v>7</v>
      </c>
      <c r="C10" s="72" t="s">
        <v>1001</v>
      </c>
      <c r="D10" s="778"/>
      <c r="E10" s="778"/>
    </row>
    <row r="11" spans="1:5" s="73" customFormat="1" ht="15.6" x14ac:dyDescent="0.3">
      <c r="A11" s="188">
        <v>1</v>
      </c>
      <c r="B11" s="72" t="s">
        <v>136</v>
      </c>
      <c r="C11" s="72" t="s">
        <v>563</v>
      </c>
      <c r="D11" s="169">
        <v>4</v>
      </c>
      <c r="E11" s="169">
        <v>5</v>
      </c>
    </row>
    <row r="12" spans="1:5" s="77" customFormat="1" x14ac:dyDescent="0.25">
      <c r="A12" s="74" t="s">
        <v>8</v>
      </c>
      <c r="B12" s="75" t="s">
        <v>365</v>
      </c>
      <c r="C12" s="75" t="s">
        <v>9</v>
      </c>
      <c r="D12" s="131">
        <v>846394.44</v>
      </c>
      <c r="E12" s="131">
        <v>637085.82999999996</v>
      </c>
    </row>
    <row r="13" spans="1:5" s="77" customFormat="1" x14ac:dyDescent="0.25">
      <c r="A13" s="78" t="s">
        <v>783</v>
      </c>
      <c r="B13" s="79" t="s">
        <v>366</v>
      </c>
      <c r="C13" s="79" t="s">
        <v>9</v>
      </c>
      <c r="D13" s="132">
        <v>379316.7</v>
      </c>
      <c r="E13" s="132">
        <v>380889.69999999995</v>
      </c>
    </row>
    <row r="14" spans="1:5" s="77" customFormat="1" x14ac:dyDescent="0.25">
      <c r="A14" s="78" t="s">
        <v>573</v>
      </c>
      <c r="B14" s="79" t="s">
        <v>375</v>
      </c>
      <c r="C14" s="79" t="s">
        <v>9</v>
      </c>
      <c r="D14" s="132">
        <v>69737.372999999992</v>
      </c>
      <c r="E14" s="132">
        <v>70427.172999999995</v>
      </c>
    </row>
    <row r="15" spans="1:5" s="77" customFormat="1" x14ac:dyDescent="0.25">
      <c r="A15" s="78" t="s">
        <v>37</v>
      </c>
      <c r="B15" s="79" t="s">
        <v>374</v>
      </c>
      <c r="C15" s="79" t="s">
        <v>9</v>
      </c>
      <c r="D15" s="132">
        <v>27091.373</v>
      </c>
      <c r="E15" s="132">
        <v>26237.172999999999</v>
      </c>
    </row>
    <row r="16" spans="1:5" s="80" customFormat="1" ht="47.25" outlineLevel="1" x14ac:dyDescent="0.25">
      <c r="A16" s="74" t="s">
        <v>115</v>
      </c>
      <c r="B16" s="75" t="s">
        <v>374</v>
      </c>
      <c r="C16" s="75" t="s">
        <v>113</v>
      </c>
      <c r="D16" s="131">
        <v>2730</v>
      </c>
      <c r="E16" s="131">
        <v>2730</v>
      </c>
    </row>
    <row r="17" spans="1:5" s="80" customFormat="1" x14ac:dyDescent="0.25">
      <c r="A17" s="74" t="s">
        <v>124</v>
      </c>
      <c r="B17" s="75" t="s">
        <v>374</v>
      </c>
      <c r="C17" s="75" t="s">
        <v>117</v>
      </c>
      <c r="D17" s="131">
        <v>23458.972999999998</v>
      </c>
      <c r="E17" s="131">
        <v>22604.772999999997</v>
      </c>
    </row>
    <row r="18" spans="1:5" s="77" customFormat="1" x14ac:dyDescent="0.25">
      <c r="A18" s="74" t="s">
        <v>116</v>
      </c>
      <c r="B18" s="75" t="s">
        <v>374</v>
      </c>
      <c r="C18" s="75" t="s">
        <v>114</v>
      </c>
      <c r="D18" s="131">
        <v>902.40000000000009</v>
      </c>
      <c r="E18" s="131">
        <v>902.40000000000009</v>
      </c>
    </row>
    <row r="19" spans="1:5" s="77" customFormat="1" x14ac:dyDescent="0.25">
      <c r="A19" s="78" t="s">
        <v>37</v>
      </c>
      <c r="B19" s="79" t="s">
        <v>507</v>
      </c>
      <c r="C19" s="79" t="s">
        <v>9</v>
      </c>
      <c r="D19" s="132">
        <v>42646</v>
      </c>
      <c r="E19" s="132">
        <v>44190</v>
      </c>
    </row>
    <row r="20" spans="1:5" s="80" customFormat="1" ht="47.25" x14ac:dyDescent="0.25">
      <c r="A20" s="74" t="s">
        <v>115</v>
      </c>
      <c r="B20" s="75" t="s">
        <v>507</v>
      </c>
      <c r="C20" s="75" t="s">
        <v>113</v>
      </c>
      <c r="D20" s="131">
        <v>10000</v>
      </c>
      <c r="E20" s="131">
        <v>10000</v>
      </c>
    </row>
    <row r="21" spans="1:5" s="80" customFormat="1" x14ac:dyDescent="0.25">
      <c r="A21" s="74" t="s">
        <v>124</v>
      </c>
      <c r="B21" s="75" t="s">
        <v>507</v>
      </c>
      <c r="C21" s="75" t="s">
        <v>117</v>
      </c>
      <c r="D21" s="131">
        <v>31746</v>
      </c>
      <c r="E21" s="131">
        <v>33290</v>
      </c>
    </row>
    <row r="22" spans="1:5" s="80" customFormat="1" x14ac:dyDescent="0.25">
      <c r="A22" s="74" t="s">
        <v>116</v>
      </c>
      <c r="B22" s="75" t="s">
        <v>507</v>
      </c>
      <c r="C22" s="75" t="s">
        <v>114</v>
      </c>
      <c r="D22" s="131">
        <v>900</v>
      </c>
      <c r="E22" s="131">
        <v>900</v>
      </c>
    </row>
    <row r="23" spans="1:5" s="80" customFormat="1" x14ac:dyDescent="0.25">
      <c r="A23" s="78" t="s">
        <v>788</v>
      </c>
      <c r="B23" s="79" t="s">
        <v>370</v>
      </c>
      <c r="C23" s="79" t="s">
        <v>9</v>
      </c>
      <c r="D23" s="132">
        <v>55010.2</v>
      </c>
      <c r="E23" s="132">
        <v>53162</v>
      </c>
    </row>
    <row r="24" spans="1:5" s="77" customFormat="1" x14ac:dyDescent="0.25">
      <c r="A24" s="78" t="s">
        <v>179</v>
      </c>
      <c r="B24" s="79" t="s">
        <v>371</v>
      </c>
      <c r="C24" s="79" t="s">
        <v>9</v>
      </c>
      <c r="D24" s="132">
        <v>26629.600000000002</v>
      </c>
      <c r="E24" s="132">
        <v>24766.400000000001</v>
      </c>
    </row>
    <row r="25" spans="1:5" s="77" customFormat="1" ht="47.25" x14ac:dyDescent="0.25">
      <c r="A25" s="74" t="s">
        <v>115</v>
      </c>
      <c r="B25" s="75" t="s">
        <v>371</v>
      </c>
      <c r="C25" s="75" t="s">
        <v>113</v>
      </c>
      <c r="D25" s="131">
        <v>7675</v>
      </c>
      <c r="E25" s="131">
        <v>7660</v>
      </c>
    </row>
    <row r="26" spans="1:5" s="80" customFormat="1" x14ac:dyDescent="0.25">
      <c r="A26" s="74" t="s">
        <v>124</v>
      </c>
      <c r="B26" s="75" t="s">
        <v>371</v>
      </c>
      <c r="C26" s="75" t="s">
        <v>117</v>
      </c>
      <c r="D26" s="131">
        <v>18667.400000000001</v>
      </c>
      <c r="E26" s="131">
        <v>16840.900000000001</v>
      </c>
    </row>
    <row r="27" spans="1:5" s="80" customFormat="1" x14ac:dyDescent="0.25">
      <c r="A27" s="74" t="s">
        <v>116</v>
      </c>
      <c r="B27" s="75" t="s">
        <v>371</v>
      </c>
      <c r="C27" s="75" t="s">
        <v>114</v>
      </c>
      <c r="D27" s="131">
        <v>287.20000000000005</v>
      </c>
      <c r="E27" s="131">
        <v>265.50000000000006</v>
      </c>
    </row>
    <row r="28" spans="1:5" s="80" customFormat="1" x14ac:dyDescent="0.25">
      <c r="A28" s="78" t="s">
        <v>179</v>
      </c>
      <c r="B28" s="79" t="s">
        <v>466</v>
      </c>
      <c r="C28" s="79" t="s">
        <v>9</v>
      </c>
      <c r="D28" s="132">
        <v>27223.599999999999</v>
      </c>
      <c r="E28" s="132">
        <v>27223.599999999999</v>
      </c>
    </row>
    <row r="29" spans="1:5" s="80" customFormat="1" ht="47.25" x14ac:dyDescent="0.25">
      <c r="A29" s="74" t="s">
        <v>115</v>
      </c>
      <c r="B29" s="75" t="s">
        <v>466</v>
      </c>
      <c r="C29" s="75" t="s">
        <v>113</v>
      </c>
      <c r="D29" s="131">
        <v>25000</v>
      </c>
      <c r="E29" s="131">
        <v>25000</v>
      </c>
    </row>
    <row r="30" spans="1:5" s="77" customFormat="1" x14ac:dyDescent="0.25">
      <c r="A30" s="74" t="s">
        <v>124</v>
      </c>
      <c r="B30" s="75" t="s">
        <v>466</v>
      </c>
      <c r="C30" s="75" t="s">
        <v>117</v>
      </c>
      <c r="D30" s="131">
        <v>2000</v>
      </c>
      <c r="E30" s="131">
        <v>2000</v>
      </c>
    </row>
    <row r="31" spans="1:5" s="77" customFormat="1" x14ac:dyDescent="0.25">
      <c r="A31" s="74" t="s">
        <v>116</v>
      </c>
      <c r="B31" s="75" t="s">
        <v>466</v>
      </c>
      <c r="C31" s="75" t="s">
        <v>114</v>
      </c>
      <c r="D31" s="131">
        <v>223.6</v>
      </c>
      <c r="E31" s="131">
        <v>223.6</v>
      </c>
    </row>
    <row r="32" spans="1:5" s="77" customFormat="1" x14ac:dyDescent="0.25">
      <c r="A32" s="78" t="s">
        <v>179</v>
      </c>
      <c r="B32" s="79" t="s">
        <v>467</v>
      </c>
      <c r="C32" s="79" t="s">
        <v>9</v>
      </c>
      <c r="D32" s="132">
        <v>1157</v>
      </c>
      <c r="E32" s="132">
        <v>1172</v>
      </c>
    </row>
    <row r="33" spans="1:5" s="80" customFormat="1" ht="47.25" x14ac:dyDescent="0.25">
      <c r="A33" s="74" t="s">
        <v>115</v>
      </c>
      <c r="B33" s="75" t="s">
        <v>467</v>
      </c>
      <c r="C33" s="75" t="s">
        <v>113</v>
      </c>
      <c r="D33" s="131">
        <v>1157</v>
      </c>
      <c r="E33" s="131">
        <v>1172</v>
      </c>
    </row>
    <row r="34" spans="1:5" s="80" customFormat="1" x14ac:dyDescent="0.25">
      <c r="A34" s="78" t="s">
        <v>574</v>
      </c>
      <c r="B34" s="79" t="s">
        <v>376</v>
      </c>
      <c r="C34" s="79" t="s">
        <v>9</v>
      </c>
      <c r="D34" s="132">
        <v>18753.799999999996</v>
      </c>
      <c r="E34" s="132">
        <v>20601.999999999996</v>
      </c>
    </row>
    <row r="35" spans="1:5" s="80" customFormat="1" x14ac:dyDescent="0.25">
      <c r="A35" s="78" t="s">
        <v>38</v>
      </c>
      <c r="B35" s="79" t="s">
        <v>377</v>
      </c>
      <c r="C35" s="79" t="s">
        <v>9</v>
      </c>
      <c r="D35" s="132">
        <v>13753.799999999996</v>
      </c>
      <c r="E35" s="132">
        <v>15601.999999999996</v>
      </c>
    </row>
    <row r="36" spans="1:5" s="80" customFormat="1" ht="47.25" x14ac:dyDescent="0.25">
      <c r="A36" s="74" t="s">
        <v>115</v>
      </c>
      <c r="B36" s="75" t="s">
        <v>377</v>
      </c>
      <c r="C36" s="75" t="s">
        <v>113</v>
      </c>
      <c r="D36" s="131">
        <v>10945.299999999996</v>
      </c>
      <c r="E36" s="131">
        <v>10945.299999999996</v>
      </c>
    </row>
    <row r="37" spans="1:5" s="77" customFormat="1" x14ac:dyDescent="0.25">
      <c r="A37" s="74" t="s">
        <v>124</v>
      </c>
      <c r="B37" s="75" t="s">
        <v>377</v>
      </c>
      <c r="C37" s="75" t="s">
        <v>117</v>
      </c>
      <c r="D37" s="131">
        <v>2711.7000000000007</v>
      </c>
      <c r="E37" s="131">
        <v>4538.2000000000007</v>
      </c>
    </row>
    <row r="38" spans="1:5" s="77" customFormat="1" x14ac:dyDescent="0.25">
      <c r="A38" s="74" t="s">
        <v>116</v>
      </c>
      <c r="B38" s="75" t="s">
        <v>377</v>
      </c>
      <c r="C38" s="75" t="s">
        <v>114</v>
      </c>
      <c r="D38" s="131">
        <v>96.8</v>
      </c>
      <c r="E38" s="131">
        <v>118.5</v>
      </c>
    </row>
    <row r="39" spans="1:5" s="80" customFormat="1" x14ac:dyDescent="0.25">
      <c r="A39" s="78" t="s">
        <v>38</v>
      </c>
      <c r="B39" s="79" t="s">
        <v>522</v>
      </c>
      <c r="C39" s="79" t="s">
        <v>9</v>
      </c>
      <c r="D39" s="132">
        <v>5000</v>
      </c>
      <c r="E39" s="132">
        <v>5000</v>
      </c>
    </row>
    <row r="40" spans="1:5" s="80" customFormat="1" ht="47.25" outlineLevel="1" x14ac:dyDescent="0.25">
      <c r="A40" s="74" t="s">
        <v>115</v>
      </c>
      <c r="B40" s="75" t="s">
        <v>522</v>
      </c>
      <c r="C40" s="75" t="s">
        <v>113</v>
      </c>
      <c r="D40" s="131">
        <v>5000</v>
      </c>
      <c r="E40" s="131">
        <v>5000</v>
      </c>
    </row>
    <row r="41" spans="1:5" s="77" customFormat="1" x14ac:dyDescent="0.25">
      <c r="A41" s="78" t="s">
        <v>575</v>
      </c>
      <c r="B41" s="79" t="s">
        <v>367</v>
      </c>
      <c r="C41" s="79" t="s">
        <v>9</v>
      </c>
      <c r="D41" s="132">
        <v>12302.3</v>
      </c>
      <c r="E41" s="132">
        <v>12836.5</v>
      </c>
    </row>
    <row r="42" spans="1:5" s="80" customFormat="1" x14ac:dyDescent="0.25">
      <c r="A42" s="78" t="s">
        <v>29</v>
      </c>
      <c r="B42" s="79" t="s">
        <v>369</v>
      </c>
      <c r="C42" s="79" t="s">
        <v>9</v>
      </c>
      <c r="D42" s="132">
        <v>7801.8</v>
      </c>
      <c r="E42" s="132">
        <v>8186</v>
      </c>
    </row>
    <row r="43" spans="1:5" s="80" customFormat="1" ht="47.25" x14ac:dyDescent="0.25">
      <c r="A43" s="74" t="s">
        <v>115</v>
      </c>
      <c r="B43" s="75" t="s">
        <v>369</v>
      </c>
      <c r="C43" s="75" t="s">
        <v>113</v>
      </c>
      <c r="D43" s="131">
        <v>7801.8</v>
      </c>
      <c r="E43" s="131">
        <v>7801.8</v>
      </c>
    </row>
    <row r="44" spans="1:5" s="77" customFormat="1" collapsed="1" x14ac:dyDescent="0.25">
      <c r="A44" s="78" t="s">
        <v>45</v>
      </c>
      <c r="B44" s="79" t="s">
        <v>385</v>
      </c>
      <c r="C44" s="79" t="s">
        <v>9</v>
      </c>
      <c r="D44" s="132">
        <v>2817.8</v>
      </c>
      <c r="E44" s="132">
        <v>2967.8</v>
      </c>
    </row>
    <row r="45" spans="1:5" s="80" customFormat="1" ht="47.25" x14ac:dyDescent="0.25">
      <c r="A45" s="74" t="s">
        <v>115</v>
      </c>
      <c r="B45" s="75" t="s">
        <v>385</v>
      </c>
      <c r="C45" s="75" t="s">
        <v>113</v>
      </c>
      <c r="D45" s="131">
        <v>2817.8</v>
      </c>
      <c r="E45" s="131">
        <v>2817.8</v>
      </c>
    </row>
    <row r="46" spans="1:5" s="80" customFormat="1" x14ac:dyDescent="0.25">
      <c r="A46" s="78" t="s">
        <v>26</v>
      </c>
      <c r="B46" s="79" t="s">
        <v>368</v>
      </c>
      <c r="C46" s="79" t="s">
        <v>9</v>
      </c>
      <c r="D46" s="132">
        <v>1682.6999999999998</v>
      </c>
      <c r="E46" s="132">
        <v>1682.6999999999998</v>
      </c>
    </row>
    <row r="47" spans="1:5" s="80" customFormat="1" ht="47.25" x14ac:dyDescent="0.25">
      <c r="A47" s="74" t="s">
        <v>115</v>
      </c>
      <c r="B47" s="75" t="s">
        <v>368</v>
      </c>
      <c r="C47" s="75" t="s">
        <v>113</v>
      </c>
      <c r="D47" s="131">
        <v>1677.6</v>
      </c>
      <c r="E47" s="131">
        <v>1677.6</v>
      </c>
    </row>
    <row r="48" spans="1:5" s="77" customFormat="1" outlineLevel="1" x14ac:dyDescent="0.25">
      <c r="A48" s="74" t="s">
        <v>124</v>
      </c>
      <c r="B48" s="75" t="s">
        <v>368</v>
      </c>
      <c r="C48" s="75" t="s">
        <v>117</v>
      </c>
      <c r="D48" s="131">
        <v>5.0999999999999996</v>
      </c>
      <c r="E48" s="131">
        <v>5.0999999999999996</v>
      </c>
    </row>
    <row r="49" spans="1:5" s="77" customFormat="1" ht="31.5" x14ac:dyDescent="0.25">
      <c r="A49" s="78" t="s">
        <v>1156</v>
      </c>
      <c r="B49" s="79" t="s">
        <v>378</v>
      </c>
      <c r="C49" s="79" t="s">
        <v>9</v>
      </c>
      <c r="D49" s="132">
        <v>621.6</v>
      </c>
      <c r="E49" s="132">
        <v>621.6</v>
      </c>
    </row>
    <row r="50" spans="1:5" s="80" customFormat="1" ht="31.5" collapsed="1" x14ac:dyDescent="0.25">
      <c r="A50" s="74" t="s">
        <v>843</v>
      </c>
      <c r="B50" s="75" t="s">
        <v>378</v>
      </c>
      <c r="C50" s="75" t="s">
        <v>490</v>
      </c>
      <c r="D50" s="131">
        <v>621.6</v>
      </c>
      <c r="E50" s="131">
        <v>621.6</v>
      </c>
    </row>
    <row r="51" spans="1:5" s="80" customFormat="1" ht="31.5" x14ac:dyDescent="0.25">
      <c r="A51" s="78" t="s">
        <v>41</v>
      </c>
      <c r="B51" s="79" t="s">
        <v>383</v>
      </c>
      <c r="C51" s="79" t="s">
        <v>9</v>
      </c>
      <c r="D51" s="132">
        <v>787.5</v>
      </c>
      <c r="E51" s="132">
        <v>787.5</v>
      </c>
    </row>
    <row r="52" spans="1:5" s="77" customFormat="1" ht="47.25" x14ac:dyDescent="0.25">
      <c r="A52" s="78" t="s">
        <v>646</v>
      </c>
      <c r="B52" s="79" t="s">
        <v>384</v>
      </c>
      <c r="C52" s="79" t="s">
        <v>9</v>
      </c>
      <c r="D52" s="132">
        <v>787.5</v>
      </c>
      <c r="E52" s="132">
        <v>787.5</v>
      </c>
    </row>
    <row r="53" spans="1:5" s="77" customFormat="1" x14ac:dyDescent="0.25">
      <c r="A53" s="74" t="s">
        <v>124</v>
      </c>
      <c r="B53" s="75" t="s">
        <v>384</v>
      </c>
      <c r="C53" s="75" t="s">
        <v>117</v>
      </c>
      <c r="D53" s="131">
        <v>787.5</v>
      </c>
      <c r="E53" s="131">
        <v>787.5</v>
      </c>
    </row>
    <row r="54" spans="1:5" s="80" customFormat="1" ht="47.25" collapsed="1" x14ac:dyDescent="0.25">
      <c r="A54" s="78" t="s">
        <v>1110</v>
      </c>
      <c r="B54" s="79" t="s">
        <v>386</v>
      </c>
      <c r="C54" s="79" t="s">
        <v>9</v>
      </c>
      <c r="D54" s="132">
        <v>11154.6</v>
      </c>
      <c r="E54" s="132">
        <v>11608.6</v>
      </c>
    </row>
    <row r="55" spans="1:5" s="80" customFormat="1" ht="47.25" x14ac:dyDescent="0.25">
      <c r="A55" s="78" t="s">
        <v>46</v>
      </c>
      <c r="B55" s="79" t="s">
        <v>387</v>
      </c>
      <c r="C55" s="79" t="s">
        <v>9</v>
      </c>
      <c r="D55" s="132">
        <v>2054.7000000000003</v>
      </c>
      <c r="E55" s="132">
        <v>2054.7000000000003</v>
      </c>
    </row>
    <row r="56" spans="1:5" s="80" customFormat="1" x14ac:dyDescent="0.25">
      <c r="A56" s="74" t="s">
        <v>124</v>
      </c>
      <c r="B56" s="75" t="s">
        <v>387</v>
      </c>
      <c r="C56" s="75" t="s">
        <v>117</v>
      </c>
      <c r="D56" s="131">
        <v>59.8</v>
      </c>
      <c r="E56" s="131">
        <v>59.8</v>
      </c>
    </row>
    <row r="57" spans="1:5" s="80" customFormat="1" x14ac:dyDescent="0.25">
      <c r="A57" s="74" t="s">
        <v>125</v>
      </c>
      <c r="B57" s="75" t="s">
        <v>387</v>
      </c>
      <c r="C57" s="75" t="s">
        <v>118</v>
      </c>
      <c r="D57" s="131">
        <v>1994.9</v>
      </c>
      <c r="E57" s="131">
        <v>1994.9</v>
      </c>
    </row>
    <row r="58" spans="1:5" s="77" customFormat="1" ht="63" x14ac:dyDescent="0.25">
      <c r="A58" s="78" t="s">
        <v>1114</v>
      </c>
      <c r="B58" s="79" t="s">
        <v>388</v>
      </c>
      <c r="C58" s="79" t="s">
        <v>9</v>
      </c>
      <c r="D58" s="132">
        <v>8831.6999999999989</v>
      </c>
      <c r="E58" s="132">
        <v>9285.6999999999989</v>
      </c>
    </row>
    <row r="59" spans="1:5" s="80" customFormat="1" ht="47.25" x14ac:dyDescent="0.25">
      <c r="A59" s="74" t="s">
        <v>115</v>
      </c>
      <c r="B59" s="75" t="s">
        <v>388</v>
      </c>
      <c r="C59" s="75" t="s">
        <v>113</v>
      </c>
      <c r="D59" s="131">
        <v>8743.2999999999993</v>
      </c>
      <c r="E59" s="131">
        <v>9192.7999999999993</v>
      </c>
    </row>
    <row r="60" spans="1:5" s="80" customFormat="1" x14ac:dyDescent="0.25">
      <c r="A60" s="74" t="s">
        <v>124</v>
      </c>
      <c r="B60" s="75" t="s">
        <v>388</v>
      </c>
      <c r="C60" s="75" t="s">
        <v>117</v>
      </c>
      <c r="D60" s="131">
        <v>88.4</v>
      </c>
      <c r="E60" s="131">
        <v>92.9</v>
      </c>
    </row>
    <row r="61" spans="1:5" s="80" customFormat="1" ht="78.75" x14ac:dyDescent="0.25">
      <c r="A61" s="78" t="s">
        <v>852</v>
      </c>
      <c r="B61" s="79" t="s">
        <v>851</v>
      </c>
      <c r="C61" s="79" t="s">
        <v>9</v>
      </c>
      <c r="D61" s="132">
        <v>268.2</v>
      </c>
      <c r="E61" s="132">
        <v>268.2</v>
      </c>
    </row>
    <row r="62" spans="1:5" s="80" customFormat="1" ht="47.25" x14ac:dyDescent="0.25">
      <c r="A62" s="74" t="s">
        <v>115</v>
      </c>
      <c r="B62" s="75" t="s">
        <v>851</v>
      </c>
      <c r="C62" s="75" t="s">
        <v>113</v>
      </c>
      <c r="D62" s="131">
        <v>268.2</v>
      </c>
      <c r="E62" s="131">
        <v>268.2</v>
      </c>
    </row>
    <row r="63" spans="1:5" s="80" customFormat="1" x14ac:dyDescent="0.25">
      <c r="A63" s="78" t="s">
        <v>39</v>
      </c>
      <c r="B63" s="79" t="s">
        <v>372</v>
      </c>
      <c r="C63" s="79" t="s">
        <v>9</v>
      </c>
      <c r="D63" s="132">
        <v>185099</v>
      </c>
      <c r="E63" s="132">
        <v>185099</v>
      </c>
    </row>
    <row r="64" spans="1:5" s="80" customFormat="1" ht="47.25" x14ac:dyDescent="0.25">
      <c r="A64" s="78" t="s">
        <v>206</v>
      </c>
      <c r="B64" s="79" t="s">
        <v>379</v>
      </c>
      <c r="C64" s="79" t="s">
        <v>9</v>
      </c>
      <c r="D64" s="132">
        <v>153941</v>
      </c>
      <c r="E64" s="132">
        <v>153941</v>
      </c>
    </row>
    <row r="65" spans="1:5" s="80" customFormat="1" ht="47.25" x14ac:dyDescent="0.25">
      <c r="A65" s="74" t="s">
        <v>115</v>
      </c>
      <c r="B65" s="75" t="s">
        <v>379</v>
      </c>
      <c r="C65" s="75" t="s">
        <v>113</v>
      </c>
      <c r="D65" s="131">
        <v>151716</v>
      </c>
      <c r="E65" s="131">
        <v>151716</v>
      </c>
    </row>
    <row r="66" spans="1:5" s="80" customFormat="1" x14ac:dyDescent="0.25">
      <c r="A66" s="74" t="s">
        <v>124</v>
      </c>
      <c r="B66" s="75" t="s">
        <v>379</v>
      </c>
      <c r="C66" s="75" t="s">
        <v>117</v>
      </c>
      <c r="D66" s="131">
        <v>2225</v>
      </c>
      <c r="E66" s="131">
        <v>2225</v>
      </c>
    </row>
    <row r="67" spans="1:5" s="77" customFormat="1" ht="31.5" collapsed="1" x14ac:dyDescent="0.25">
      <c r="A67" s="78" t="s">
        <v>34</v>
      </c>
      <c r="B67" s="79" t="s">
        <v>373</v>
      </c>
      <c r="C67" s="79" t="s">
        <v>9</v>
      </c>
      <c r="D67" s="132">
        <v>31158</v>
      </c>
      <c r="E67" s="132">
        <v>31158</v>
      </c>
    </row>
    <row r="68" spans="1:5" s="80" customFormat="1" ht="47.25" x14ac:dyDescent="0.25">
      <c r="A68" s="74" t="s">
        <v>115</v>
      </c>
      <c r="B68" s="75" t="s">
        <v>373</v>
      </c>
      <c r="C68" s="75" t="s">
        <v>113</v>
      </c>
      <c r="D68" s="131">
        <v>30608.7</v>
      </c>
      <c r="E68" s="131">
        <v>30608.7</v>
      </c>
    </row>
    <row r="69" spans="1:5" s="80" customFormat="1" x14ac:dyDescent="0.25">
      <c r="A69" s="74" t="s">
        <v>124</v>
      </c>
      <c r="B69" s="75" t="s">
        <v>373</v>
      </c>
      <c r="C69" s="75" t="s">
        <v>117</v>
      </c>
      <c r="D69" s="131">
        <v>549.29999999999995</v>
      </c>
      <c r="E69" s="131">
        <v>549.29999999999995</v>
      </c>
    </row>
    <row r="70" spans="1:5" s="80" customFormat="1" collapsed="1" x14ac:dyDescent="0.25">
      <c r="A70" s="78" t="s">
        <v>805</v>
      </c>
      <c r="B70" s="79" t="s">
        <v>802</v>
      </c>
      <c r="C70" s="79" t="s">
        <v>9</v>
      </c>
      <c r="D70" s="132">
        <v>2185.7269999999999</v>
      </c>
      <c r="E70" s="132">
        <v>1882.627</v>
      </c>
    </row>
    <row r="71" spans="1:5" s="80" customFormat="1" outlineLevel="1" x14ac:dyDescent="0.25">
      <c r="A71" s="78" t="s">
        <v>944</v>
      </c>
      <c r="B71" s="79" t="s">
        <v>945</v>
      </c>
      <c r="C71" s="79" t="s">
        <v>9</v>
      </c>
      <c r="D71" s="132">
        <v>303.10000000000002</v>
      </c>
      <c r="E71" s="132">
        <v>0</v>
      </c>
    </row>
    <row r="72" spans="1:5" s="80" customFormat="1" ht="63" outlineLevel="1" x14ac:dyDescent="0.25">
      <c r="A72" s="78" t="s">
        <v>946</v>
      </c>
      <c r="B72" s="79" t="s">
        <v>947</v>
      </c>
      <c r="C72" s="79" t="s">
        <v>9</v>
      </c>
      <c r="D72" s="132">
        <v>300</v>
      </c>
      <c r="E72" s="132">
        <v>0</v>
      </c>
    </row>
    <row r="73" spans="1:5" s="80" customFormat="1" outlineLevel="1" x14ac:dyDescent="0.25">
      <c r="A73" s="74" t="s">
        <v>124</v>
      </c>
      <c r="B73" s="75" t="s">
        <v>947</v>
      </c>
      <c r="C73" s="75" t="s">
        <v>117</v>
      </c>
      <c r="D73" s="131">
        <v>300</v>
      </c>
      <c r="E73" s="131">
        <v>0</v>
      </c>
    </row>
    <row r="74" spans="1:5" s="80" customFormat="1" ht="63" outlineLevel="1" x14ac:dyDescent="0.25">
      <c r="A74" s="78" t="s">
        <v>946</v>
      </c>
      <c r="B74" s="79" t="s">
        <v>948</v>
      </c>
      <c r="C74" s="79" t="s">
        <v>9</v>
      </c>
      <c r="D74" s="132">
        <v>3.1</v>
      </c>
      <c r="E74" s="132">
        <v>0</v>
      </c>
    </row>
    <row r="75" spans="1:5" s="80" customFormat="1" outlineLevel="1" x14ac:dyDescent="0.25">
      <c r="A75" s="74" t="s">
        <v>124</v>
      </c>
      <c r="B75" s="75" t="s">
        <v>948</v>
      </c>
      <c r="C75" s="75" t="s">
        <v>117</v>
      </c>
      <c r="D75" s="131">
        <v>3.1</v>
      </c>
      <c r="E75" s="131">
        <v>0</v>
      </c>
    </row>
    <row r="76" spans="1:5" s="80" customFormat="1" outlineLevel="1" x14ac:dyDescent="0.25">
      <c r="A76" s="78" t="s">
        <v>1143</v>
      </c>
      <c r="B76" s="79" t="s">
        <v>1144</v>
      </c>
      <c r="C76" s="79" t="s">
        <v>9</v>
      </c>
      <c r="D76" s="132">
        <v>1882.627</v>
      </c>
      <c r="E76" s="132">
        <v>1882.627</v>
      </c>
    </row>
    <row r="77" spans="1:5" s="80" customFormat="1" ht="47.25" outlineLevel="1" x14ac:dyDescent="0.25">
      <c r="A77" s="78" t="s">
        <v>1145</v>
      </c>
      <c r="B77" s="79" t="s">
        <v>1146</v>
      </c>
      <c r="C77" s="79" t="s">
        <v>9</v>
      </c>
      <c r="D77" s="132">
        <v>1882.627</v>
      </c>
      <c r="E77" s="132">
        <v>1882.627</v>
      </c>
    </row>
    <row r="78" spans="1:5" s="80" customFormat="1" ht="47.25" outlineLevel="1" x14ac:dyDescent="0.25">
      <c r="A78" s="74" t="s">
        <v>115</v>
      </c>
      <c r="B78" s="75" t="s">
        <v>1146</v>
      </c>
      <c r="C78" s="75" t="s">
        <v>113</v>
      </c>
      <c r="D78" s="131">
        <v>1882.627</v>
      </c>
      <c r="E78" s="131">
        <v>1882.627</v>
      </c>
    </row>
    <row r="79" spans="1:5" s="77" customFormat="1" ht="47.25" x14ac:dyDescent="0.25">
      <c r="A79" s="78" t="s">
        <v>646</v>
      </c>
      <c r="B79" s="79" t="s">
        <v>491</v>
      </c>
      <c r="C79" s="79" t="s">
        <v>9</v>
      </c>
      <c r="D79" s="132">
        <v>8</v>
      </c>
      <c r="E79" s="132">
        <v>8</v>
      </c>
    </row>
    <row r="80" spans="1:5" s="80" customFormat="1" x14ac:dyDescent="0.25">
      <c r="A80" s="74" t="s">
        <v>124</v>
      </c>
      <c r="B80" s="75" t="s">
        <v>491</v>
      </c>
      <c r="C80" s="75" t="s">
        <v>117</v>
      </c>
      <c r="D80" s="131">
        <v>8</v>
      </c>
      <c r="E80" s="131">
        <v>8</v>
      </c>
    </row>
    <row r="81" spans="1:5" s="80" customFormat="1" ht="47.25" collapsed="1" x14ac:dyDescent="0.25">
      <c r="A81" s="78" t="s">
        <v>853</v>
      </c>
      <c r="B81" s="79" t="s">
        <v>854</v>
      </c>
      <c r="C81" s="79" t="s">
        <v>9</v>
      </c>
      <c r="D81" s="132">
        <v>10688.7</v>
      </c>
      <c r="E81" s="132">
        <v>10886.8</v>
      </c>
    </row>
    <row r="82" spans="1:5" s="80" customFormat="1" x14ac:dyDescent="0.25">
      <c r="A82" s="74" t="s">
        <v>124</v>
      </c>
      <c r="B82" s="75" t="s">
        <v>854</v>
      </c>
      <c r="C82" s="75" t="s">
        <v>117</v>
      </c>
      <c r="D82" s="131">
        <v>10688.7</v>
      </c>
      <c r="E82" s="131">
        <v>10886.8</v>
      </c>
    </row>
    <row r="83" spans="1:5" s="80" customFormat="1" ht="78.75" x14ac:dyDescent="0.25">
      <c r="A83" s="78" t="s">
        <v>1152</v>
      </c>
      <c r="B83" s="79" t="s">
        <v>855</v>
      </c>
      <c r="C83" s="79" t="s">
        <v>9</v>
      </c>
      <c r="D83" s="132">
        <v>12967.9</v>
      </c>
      <c r="E83" s="132">
        <v>12967.9</v>
      </c>
    </row>
    <row r="84" spans="1:5" s="80" customFormat="1" ht="47.25" x14ac:dyDescent="0.25">
      <c r="A84" s="74" t="s">
        <v>115</v>
      </c>
      <c r="B84" s="75" t="s">
        <v>855</v>
      </c>
      <c r="C84" s="75" t="s">
        <v>113</v>
      </c>
      <c r="D84" s="131">
        <v>12967.9</v>
      </c>
      <c r="E84" s="131">
        <v>12967.9</v>
      </c>
    </row>
    <row r="85" spans="1:5" s="80" customFormat="1" ht="31.5" x14ac:dyDescent="0.25">
      <c r="A85" s="78" t="s">
        <v>785</v>
      </c>
      <c r="B85" s="79" t="s">
        <v>389</v>
      </c>
      <c r="C85" s="79" t="s">
        <v>9</v>
      </c>
      <c r="D85" s="132">
        <v>62245.78</v>
      </c>
      <c r="E85" s="132">
        <v>67916.361229999995</v>
      </c>
    </row>
    <row r="86" spans="1:5" s="80" customFormat="1" ht="47.25" collapsed="1" x14ac:dyDescent="0.25">
      <c r="A86" s="78" t="s">
        <v>1110</v>
      </c>
      <c r="B86" s="79" t="s">
        <v>396</v>
      </c>
      <c r="C86" s="79" t="s">
        <v>9</v>
      </c>
      <c r="D86" s="132">
        <v>5459</v>
      </c>
      <c r="E86" s="132">
        <v>5448</v>
      </c>
    </row>
    <row r="87" spans="1:5" s="77" customFormat="1" x14ac:dyDescent="0.25">
      <c r="A87" s="78" t="s">
        <v>65</v>
      </c>
      <c r="B87" s="79" t="s">
        <v>401</v>
      </c>
      <c r="C87" s="79" t="s">
        <v>9</v>
      </c>
      <c r="D87" s="132">
        <v>5459</v>
      </c>
      <c r="E87" s="132">
        <v>5448</v>
      </c>
    </row>
    <row r="88" spans="1:5" s="77" customFormat="1" x14ac:dyDescent="0.25">
      <c r="A88" s="74" t="s">
        <v>123</v>
      </c>
      <c r="B88" s="75" t="s">
        <v>401</v>
      </c>
      <c r="C88" s="75" t="s">
        <v>119</v>
      </c>
      <c r="D88" s="131">
        <v>5459</v>
      </c>
      <c r="E88" s="131">
        <v>5448</v>
      </c>
    </row>
    <row r="89" spans="1:5" s="80" customFormat="1" collapsed="1" x14ac:dyDescent="0.25">
      <c r="A89" s="78" t="s">
        <v>127</v>
      </c>
      <c r="B89" s="79" t="s">
        <v>392</v>
      </c>
      <c r="C89" s="79" t="s">
        <v>9</v>
      </c>
      <c r="D89" s="132">
        <v>310</v>
      </c>
      <c r="E89" s="132">
        <v>310</v>
      </c>
    </row>
    <row r="90" spans="1:5" s="80" customFormat="1" ht="31.5" x14ac:dyDescent="0.25">
      <c r="A90" s="78" t="s">
        <v>16</v>
      </c>
      <c r="B90" s="79" t="s">
        <v>393</v>
      </c>
      <c r="C90" s="79" t="s">
        <v>9</v>
      </c>
      <c r="D90" s="132">
        <v>310</v>
      </c>
      <c r="E90" s="132">
        <v>310</v>
      </c>
    </row>
    <row r="91" spans="1:5" s="77" customFormat="1" ht="47.25" x14ac:dyDescent="0.25">
      <c r="A91" s="74" t="s">
        <v>115</v>
      </c>
      <c r="B91" s="75" t="s">
        <v>393</v>
      </c>
      <c r="C91" s="75" t="s">
        <v>113</v>
      </c>
      <c r="D91" s="131">
        <v>310</v>
      </c>
      <c r="E91" s="131">
        <v>310</v>
      </c>
    </row>
    <row r="92" spans="1:5" s="80" customFormat="1" x14ac:dyDescent="0.25">
      <c r="A92" s="78" t="s">
        <v>700</v>
      </c>
      <c r="B92" s="79" t="s">
        <v>390</v>
      </c>
      <c r="C92" s="79" t="s">
        <v>9</v>
      </c>
      <c r="D92" s="132">
        <v>6778.5999999999995</v>
      </c>
      <c r="E92" s="132">
        <v>6778.2112299999999</v>
      </c>
    </row>
    <row r="93" spans="1:5" s="80" customFormat="1" x14ac:dyDescent="0.25">
      <c r="A93" s="78" t="s">
        <v>26</v>
      </c>
      <c r="B93" s="79" t="s">
        <v>391</v>
      </c>
      <c r="C93" s="79" t="s">
        <v>9</v>
      </c>
      <c r="D93" s="132">
        <v>5674.7</v>
      </c>
      <c r="E93" s="132">
        <v>5674.7</v>
      </c>
    </row>
    <row r="94" spans="1:5" s="77" customFormat="1" ht="47.25" x14ac:dyDescent="0.25">
      <c r="A94" s="74" t="s">
        <v>115</v>
      </c>
      <c r="B94" s="75" t="s">
        <v>391</v>
      </c>
      <c r="C94" s="75" t="s">
        <v>113</v>
      </c>
      <c r="D94" s="131">
        <v>5620.3</v>
      </c>
      <c r="E94" s="131">
        <v>5620.3</v>
      </c>
    </row>
    <row r="95" spans="1:5" s="80" customFormat="1" outlineLevel="1" x14ac:dyDescent="0.25">
      <c r="A95" s="74" t="s">
        <v>124</v>
      </c>
      <c r="B95" s="75" t="s">
        <v>391</v>
      </c>
      <c r="C95" s="75" t="s">
        <v>117</v>
      </c>
      <c r="D95" s="131">
        <v>54.4</v>
      </c>
      <c r="E95" s="131">
        <v>54.4</v>
      </c>
    </row>
    <row r="96" spans="1:5" s="80" customFormat="1" ht="31.5" x14ac:dyDescent="0.25">
      <c r="A96" s="78" t="s">
        <v>950</v>
      </c>
      <c r="B96" s="79" t="s">
        <v>951</v>
      </c>
      <c r="C96" s="79" t="s">
        <v>9</v>
      </c>
      <c r="D96" s="132">
        <v>1103.8999999999999</v>
      </c>
      <c r="E96" s="132">
        <v>1103.5112299999998</v>
      </c>
    </row>
    <row r="97" spans="1:5" s="80" customFormat="1" collapsed="1" x14ac:dyDescent="0.25">
      <c r="A97" s="74" t="s">
        <v>124</v>
      </c>
      <c r="B97" s="75" t="s">
        <v>951</v>
      </c>
      <c r="C97" s="75" t="s">
        <v>117</v>
      </c>
      <c r="D97" s="131">
        <v>1103.8999999999999</v>
      </c>
      <c r="E97" s="131">
        <v>1103.5112299999998</v>
      </c>
    </row>
    <row r="98" spans="1:5" s="80" customFormat="1" ht="46.9" hidden="1" x14ac:dyDescent="0.3">
      <c r="A98" s="74" t="s">
        <v>115</v>
      </c>
      <c r="B98" s="75" t="s">
        <v>1179</v>
      </c>
      <c r="C98" s="75" t="s">
        <v>113</v>
      </c>
      <c r="D98" s="131"/>
      <c r="E98" s="131"/>
    </row>
    <row r="99" spans="1:5" s="80" customFormat="1" ht="15.6" hidden="1" x14ac:dyDescent="0.3">
      <c r="A99" s="264" t="s">
        <v>124</v>
      </c>
      <c r="B99" s="75" t="s">
        <v>1179</v>
      </c>
      <c r="C99" s="75" t="s">
        <v>117</v>
      </c>
      <c r="D99" s="131"/>
      <c r="E99" s="131"/>
    </row>
    <row r="100" spans="1:5" s="77" customFormat="1" ht="31.5" x14ac:dyDescent="0.25">
      <c r="A100" s="78" t="s">
        <v>208</v>
      </c>
      <c r="B100" s="79" t="s">
        <v>402</v>
      </c>
      <c r="C100" s="79" t="s">
        <v>9</v>
      </c>
      <c r="D100" s="132">
        <v>39859.1</v>
      </c>
      <c r="E100" s="132">
        <v>39176.6</v>
      </c>
    </row>
    <row r="101" spans="1:5" s="80" customFormat="1" collapsed="1" x14ac:dyDescent="0.25">
      <c r="A101" s="78" t="s">
        <v>66</v>
      </c>
      <c r="B101" s="79" t="s">
        <v>403</v>
      </c>
      <c r="C101" s="79" t="s">
        <v>9</v>
      </c>
      <c r="D101" s="132">
        <v>39618.1</v>
      </c>
      <c r="E101" s="132">
        <v>38924.6</v>
      </c>
    </row>
    <row r="102" spans="1:5" s="80" customFormat="1" x14ac:dyDescent="0.25">
      <c r="A102" s="74" t="s">
        <v>123</v>
      </c>
      <c r="B102" s="75" t="s">
        <v>403</v>
      </c>
      <c r="C102" s="75" t="s">
        <v>119</v>
      </c>
      <c r="D102" s="131">
        <v>39618.1</v>
      </c>
      <c r="E102" s="131">
        <v>38924.6</v>
      </c>
    </row>
    <row r="103" spans="1:5" s="77" customFormat="1" x14ac:dyDescent="0.25">
      <c r="A103" s="78" t="s">
        <v>65</v>
      </c>
      <c r="B103" s="79" t="s">
        <v>521</v>
      </c>
      <c r="C103" s="79" t="s">
        <v>9</v>
      </c>
      <c r="D103" s="132">
        <v>241</v>
      </c>
      <c r="E103" s="132">
        <v>252</v>
      </c>
    </row>
    <row r="104" spans="1:5" s="77" customFormat="1" x14ac:dyDescent="0.25">
      <c r="A104" s="74" t="s">
        <v>123</v>
      </c>
      <c r="B104" s="75" t="s">
        <v>521</v>
      </c>
      <c r="C104" s="75" t="s">
        <v>119</v>
      </c>
      <c r="D104" s="131">
        <v>241</v>
      </c>
      <c r="E104" s="131">
        <v>252</v>
      </c>
    </row>
    <row r="105" spans="1:5" s="77" customFormat="1" x14ac:dyDescent="0.25">
      <c r="A105" s="78" t="s">
        <v>61</v>
      </c>
      <c r="B105" s="79" t="s">
        <v>400</v>
      </c>
      <c r="C105" s="79" t="s">
        <v>9</v>
      </c>
      <c r="D105" s="132">
        <v>3700</v>
      </c>
      <c r="E105" s="132">
        <v>3700</v>
      </c>
    </row>
    <row r="106" spans="1:5" s="77" customFormat="1" x14ac:dyDescent="0.25">
      <c r="A106" s="74" t="s">
        <v>126</v>
      </c>
      <c r="B106" s="75" t="s">
        <v>400</v>
      </c>
      <c r="C106" s="75" t="s">
        <v>120</v>
      </c>
      <c r="D106" s="131">
        <v>3700</v>
      </c>
      <c r="E106" s="131">
        <v>3700</v>
      </c>
    </row>
    <row r="107" spans="1:5" s="77" customFormat="1" ht="18.75" collapsed="1" x14ac:dyDescent="0.25">
      <c r="A107" s="126" t="s">
        <v>559</v>
      </c>
      <c r="B107" s="79" t="s">
        <v>558</v>
      </c>
      <c r="C107" s="79" t="s">
        <v>9</v>
      </c>
      <c r="D107" s="132">
        <v>6139.08</v>
      </c>
      <c r="E107" s="132">
        <v>12503.55</v>
      </c>
    </row>
    <row r="108" spans="1:5" s="77" customFormat="1" x14ac:dyDescent="0.25">
      <c r="A108" s="74" t="s">
        <v>116</v>
      </c>
      <c r="B108" s="75" t="s">
        <v>558</v>
      </c>
      <c r="C108" s="75" t="s">
        <v>114</v>
      </c>
      <c r="D108" s="131">
        <v>6139.08</v>
      </c>
      <c r="E108" s="131">
        <v>12503.55</v>
      </c>
    </row>
    <row r="109" spans="1:5" s="77" customFormat="1" collapsed="1" x14ac:dyDescent="0.25">
      <c r="A109" s="78" t="s">
        <v>786</v>
      </c>
      <c r="B109" s="79" t="s">
        <v>405</v>
      </c>
      <c r="C109" s="79" t="s">
        <v>9</v>
      </c>
      <c r="D109" s="132">
        <v>4685.3</v>
      </c>
      <c r="E109" s="132">
        <v>4890.8</v>
      </c>
    </row>
    <row r="110" spans="1:5" s="77" customFormat="1" x14ac:dyDescent="0.25">
      <c r="A110" s="78" t="s">
        <v>127</v>
      </c>
      <c r="B110" s="79" t="s">
        <v>406</v>
      </c>
      <c r="C110" s="79" t="s">
        <v>9</v>
      </c>
      <c r="D110" s="132">
        <v>310</v>
      </c>
      <c r="E110" s="132">
        <v>310</v>
      </c>
    </row>
    <row r="111" spans="1:5" s="80" customFormat="1" ht="31.5" collapsed="1" x14ac:dyDescent="0.25">
      <c r="A111" s="78" t="s">
        <v>16</v>
      </c>
      <c r="B111" s="79" t="s">
        <v>407</v>
      </c>
      <c r="C111" s="79" t="s">
        <v>9</v>
      </c>
      <c r="D111" s="132">
        <v>310</v>
      </c>
      <c r="E111" s="132">
        <v>310</v>
      </c>
    </row>
    <row r="112" spans="1:5" s="77" customFormat="1" ht="47.25" x14ac:dyDescent="0.25">
      <c r="A112" s="74" t="s">
        <v>115</v>
      </c>
      <c r="B112" s="75" t="s">
        <v>407</v>
      </c>
      <c r="C112" s="75" t="s">
        <v>113</v>
      </c>
      <c r="D112" s="131">
        <v>310</v>
      </c>
      <c r="E112" s="131">
        <v>310</v>
      </c>
    </row>
    <row r="113" spans="1:5" s="80" customFormat="1" ht="31.5" x14ac:dyDescent="0.25">
      <c r="A113" s="78" t="s">
        <v>572</v>
      </c>
      <c r="B113" s="79" t="s">
        <v>408</v>
      </c>
      <c r="C113" s="79" t="s">
        <v>9</v>
      </c>
      <c r="D113" s="132">
        <v>3726.8</v>
      </c>
      <c r="E113" s="132">
        <v>3726.8</v>
      </c>
    </row>
    <row r="114" spans="1:5" s="80" customFormat="1" x14ac:dyDescent="0.25">
      <c r="A114" s="78" t="s">
        <v>29</v>
      </c>
      <c r="B114" s="79" t="s">
        <v>411</v>
      </c>
      <c r="C114" s="79" t="s">
        <v>9</v>
      </c>
      <c r="D114" s="132">
        <v>746.3</v>
      </c>
      <c r="E114" s="132">
        <v>746.3</v>
      </c>
    </row>
    <row r="115" spans="1:5" s="80" customFormat="1" ht="47.25" x14ac:dyDescent="0.25">
      <c r="A115" s="74" t="s">
        <v>115</v>
      </c>
      <c r="B115" s="75" t="s">
        <v>411</v>
      </c>
      <c r="C115" s="75" t="s">
        <v>113</v>
      </c>
      <c r="D115" s="131">
        <v>673.4</v>
      </c>
      <c r="E115" s="131">
        <v>673.4</v>
      </c>
    </row>
    <row r="116" spans="1:5" s="80" customFormat="1" outlineLevel="1" x14ac:dyDescent="0.25">
      <c r="A116" s="74" t="s">
        <v>124</v>
      </c>
      <c r="B116" s="75" t="s">
        <v>411</v>
      </c>
      <c r="C116" s="75" t="s">
        <v>117</v>
      </c>
      <c r="D116" s="131">
        <v>72.900000000000006</v>
      </c>
      <c r="E116" s="131">
        <v>72.900000000000006</v>
      </c>
    </row>
    <row r="117" spans="1:5" s="77" customFormat="1" x14ac:dyDescent="0.25">
      <c r="A117" s="78" t="s">
        <v>26</v>
      </c>
      <c r="B117" s="79" t="s">
        <v>409</v>
      </c>
      <c r="C117" s="79" t="s">
        <v>9</v>
      </c>
      <c r="D117" s="132">
        <v>2980.5</v>
      </c>
      <c r="E117" s="132">
        <v>2980.5</v>
      </c>
    </row>
    <row r="118" spans="1:5" s="80" customFormat="1" ht="47.25" x14ac:dyDescent="0.25">
      <c r="A118" s="74" t="s">
        <v>115</v>
      </c>
      <c r="B118" s="75" t="s">
        <v>409</v>
      </c>
      <c r="C118" s="75" t="s">
        <v>113</v>
      </c>
      <c r="D118" s="131">
        <v>2980.5</v>
      </c>
      <c r="E118" s="131">
        <v>2980.5</v>
      </c>
    </row>
    <row r="119" spans="1:5" s="80" customFormat="1" ht="31.5" outlineLevel="1" x14ac:dyDescent="0.25">
      <c r="A119" s="78" t="s">
        <v>122</v>
      </c>
      <c r="B119" s="79" t="s">
        <v>412</v>
      </c>
      <c r="C119" s="79" t="s">
        <v>9</v>
      </c>
      <c r="D119" s="132">
        <v>588.6</v>
      </c>
      <c r="E119" s="132">
        <v>794.1</v>
      </c>
    </row>
    <row r="120" spans="1:5" s="77" customFormat="1" outlineLevel="1" x14ac:dyDescent="0.25">
      <c r="A120" s="74" t="s">
        <v>124</v>
      </c>
      <c r="B120" s="75" t="s">
        <v>412</v>
      </c>
      <c r="C120" s="75" t="s">
        <v>117</v>
      </c>
      <c r="D120" s="131">
        <v>588.6</v>
      </c>
      <c r="E120" s="131">
        <v>794.1</v>
      </c>
    </row>
    <row r="121" spans="1:5" s="77" customFormat="1" ht="31.5" outlineLevel="1" x14ac:dyDescent="0.25">
      <c r="A121" s="78" t="s">
        <v>71</v>
      </c>
      <c r="B121" s="79" t="s">
        <v>413</v>
      </c>
      <c r="C121" s="79" t="s">
        <v>9</v>
      </c>
      <c r="D121" s="132">
        <v>59.9</v>
      </c>
      <c r="E121" s="132">
        <v>59.9</v>
      </c>
    </row>
    <row r="122" spans="1:5" s="80" customFormat="1" outlineLevel="1" x14ac:dyDescent="0.25">
      <c r="A122" s="74" t="s">
        <v>124</v>
      </c>
      <c r="B122" s="75" t="s">
        <v>413</v>
      </c>
      <c r="C122" s="75" t="s">
        <v>117</v>
      </c>
      <c r="D122" s="131">
        <v>59.9</v>
      </c>
      <c r="E122" s="131">
        <v>59.9</v>
      </c>
    </row>
    <row r="123" spans="1:5" s="77" customFormat="1" ht="31.5" x14ac:dyDescent="0.25">
      <c r="A123" s="78" t="s">
        <v>787</v>
      </c>
      <c r="B123" s="79" t="s">
        <v>495</v>
      </c>
      <c r="C123" s="79" t="s">
        <v>9</v>
      </c>
      <c r="D123" s="132">
        <v>215700.13999999998</v>
      </c>
      <c r="E123" s="132">
        <v>1158.5</v>
      </c>
    </row>
    <row r="124" spans="1:5" s="80" customFormat="1" ht="47.25" collapsed="1" x14ac:dyDescent="0.25">
      <c r="A124" s="78" t="s">
        <v>1110</v>
      </c>
      <c r="B124" s="79" t="s">
        <v>496</v>
      </c>
      <c r="C124" s="79" t="s">
        <v>9</v>
      </c>
      <c r="D124" s="132">
        <v>1100</v>
      </c>
      <c r="E124" s="132">
        <v>1100</v>
      </c>
    </row>
    <row r="125" spans="1:5" s="77" customFormat="1" ht="31.5" x14ac:dyDescent="0.25">
      <c r="A125" s="78" t="s">
        <v>110</v>
      </c>
      <c r="B125" s="79" t="s">
        <v>497</v>
      </c>
      <c r="C125" s="79" t="s">
        <v>9</v>
      </c>
      <c r="D125" s="132">
        <v>1100</v>
      </c>
      <c r="E125" s="132">
        <v>1100</v>
      </c>
    </row>
    <row r="126" spans="1:5" s="80" customFormat="1" ht="47.25" x14ac:dyDescent="0.25">
      <c r="A126" s="74" t="s">
        <v>115</v>
      </c>
      <c r="B126" s="75" t="s">
        <v>497</v>
      </c>
      <c r="C126" s="75" t="s">
        <v>113</v>
      </c>
      <c r="D126" s="131">
        <v>1100</v>
      </c>
      <c r="E126" s="131">
        <v>1100</v>
      </c>
    </row>
    <row r="127" spans="1:5" s="80" customFormat="1" ht="31.5" x14ac:dyDescent="0.25">
      <c r="A127" s="78" t="s">
        <v>1077</v>
      </c>
      <c r="B127" s="79" t="s">
        <v>1078</v>
      </c>
      <c r="C127" s="79" t="s">
        <v>9</v>
      </c>
      <c r="D127" s="132">
        <v>135.9</v>
      </c>
      <c r="E127" s="132">
        <v>58.5</v>
      </c>
    </row>
    <row r="128" spans="1:5" s="80" customFormat="1" x14ac:dyDescent="0.25">
      <c r="A128" s="74" t="s">
        <v>116</v>
      </c>
      <c r="B128" s="75" t="s">
        <v>1078</v>
      </c>
      <c r="C128" s="75" t="s">
        <v>114</v>
      </c>
      <c r="D128" s="131">
        <v>135.9</v>
      </c>
      <c r="E128" s="131">
        <v>58.5</v>
      </c>
    </row>
    <row r="129" spans="1:5" s="80" customFormat="1" ht="31.5" x14ac:dyDescent="0.25">
      <c r="A129" s="78" t="s">
        <v>1177</v>
      </c>
      <c r="B129" s="79" t="s">
        <v>966</v>
      </c>
      <c r="C129" s="79" t="s">
        <v>9</v>
      </c>
      <c r="D129" s="132">
        <v>214464.24</v>
      </c>
      <c r="E129" s="132">
        <v>0</v>
      </c>
    </row>
    <row r="130" spans="1:5" s="80" customFormat="1" ht="31.5" x14ac:dyDescent="0.25">
      <c r="A130" s="78" t="s">
        <v>41</v>
      </c>
      <c r="B130" s="79" t="s">
        <v>1180</v>
      </c>
      <c r="C130" s="79" t="s">
        <v>9</v>
      </c>
      <c r="D130" s="132">
        <v>212319.5</v>
      </c>
      <c r="E130" s="132">
        <v>0</v>
      </c>
    </row>
    <row r="131" spans="1:5" s="80" customFormat="1" ht="78.75" x14ac:dyDescent="0.25">
      <c r="A131" s="78" t="s">
        <v>1125</v>
      </c>
      <c r="B131" s="79" t="s">
        <v>968</v>
      </c>
      <c r="C131" s="79" t="s">
        <v>9</v>
      </c>
      <c r="D131" s="132">
        <v>212319.5</v>
      </c>
      <c r="E131" s="132">
        <v>0</v>
      </c>
    </row>
    <row r="132" spans="1:5" s="80" customFormat="1" x14ac:dyDescent="0.25">
      <c r="A132" s="74" t="s">
        <v>124</v>
      </c>
      <c r="B132" s="75" t="s">
        <v>968</v>
      </c>
      <c r="C132" s="75" t="s">
        <v>117</v>
      </c>
      <c r="D132" s="132">
        <v>212319.5</v>
      </c>
      <c r="E132" s="132">
        <v>0</v>
      </c>
    </row>
    <row r="133" spans="1:5" s="80" customFormat="1" ht="78.75" x14ac:dyDescent="0.25">
      <c r="A133" s="78" t="s">
        <v>1125</v>
      </c>
      <c r="B133" s="79" t="s">
        <v>973</v>
      </c>
      <c r="C133" s="79" t="s">
        <v>9</v>
      </c>
      <c r="D133" s="132">
        <v>2144.7399999999998</v>
      </c>
      <c r="E133" s="132">
        <v>0</v>
      </c>
    </row>
    <row r="134" spans="1:5" s="80" customFormat="1" x14ac:dyDescent="0.25">
      <c r="A134" s="74" t="s">
        <v>124</v>
      </c>
      <c r="B134" s="75" t="s">
        <v>973</v>
      </c>
      <c r="C134" s="75" t="s">
        <v>117</v>
      </c>
      <c r="D134" s="132">
        <v>2144.7399999999998</v>
      </c>
      <c r="E134" s="132">
        <v>0</v>
      </c>
    </row>
    <row r="135" spans="1:5" s="80" customFormat="1" ht="31.15" hidden="1" outlineLevel="1" x14ac:dyDescent="0.3">
      <c r="A135" s="78" t="s">
        <v>1081</v>
      </c>
      <c r="B135" s="79" t="s">
        <v>1085</v>
      </c>
      <c r="C135" s="79" t="s">
        <v>9</v>
      </c>
      <c r="D135" s="132"/>
      <c r="E135" s="132"/>
    </row>
    <row r="136" spans="1:5" s="80" customFormat="1" ht="15.6" hidden="1" outlineLevel="1" x14ac:dyDescent="0.3">
      <c r="A136" s="264" t="s">
        <v>124</v>
      </c>
      <c r="B136" s="75" t="s">
        <v>1085</v>
      </c>
      <c r="C136" s="75" t="s">
        <v>117</v>
      </c>
      <c r="D136" s="131"/>
      <c r="E136" s="131"/>
    </row>
    <row r="137" spans="1:5" s="80" customFormat="1" ht="31.5" collapsed="1" x14ac:dyDescent="0.25">
      <c r="A137" s="78" t="s">
        <v>784</v>
      </c>
      <c r="B137" s="79" t="s">
        <v>380</v>
      </c>
      <c r="C137" s="79" t="s">
        <v>9</v>
      </c>
      <c r="D137" s="132">
        <v>182648.61999999997</v>
      </c>
      <c r="E137" s="132">
        <v>180432.56876999998</v>
      </c>
    </row>
    <row r="138" spans="1:5" s="77" customFormat="1" ht="31.5" outlineLevel="1" x14ac:dyDescent="0.25">
      <c r="A138" s="78" t="s">
        <v>41</v>
      </c>
      <c r="B138" s="79" t="s">
        <v>414</v>
      </c>
      <c r="C138" s="79" t="s">
        <v>9</v>
      </c>
      <c r="D138" s="132">
        <v>72.87</v>
      </c>
      <c r="E138" s="132">
        <v>72.87</v>
      </c>
    </row>
    <row r="139" spans="1:5" s="80" customFormat="1" ht="31.5" outlineLevel="1" x14ac:dyDescent="0.25">
      <c r="A139" s="78" t="s">
        <v>848</v>
      </c>
      <c r="B139" s="79" t="s">
        <v>707</v>
      </c>
      <c r="C139" s="79" t="s">
        <v>9</v>
      </c>
      <c r="D139" s="132">
        <v>72.87</v>
      </c>
      <c r="E139" s="132">
        <v>72.87</v>
      </c>
    </row>
    <row r="140" spans="1:5" s="80" customFormat="1" outlineLevel="1" x14ac:dyDescent="0.25">
      <c r="A140" s="74" t="s">
        <v>124</v>
      </c>
      <c r="B140" s="75" t="s">
        <v>707</v>
      </c>
      <c r="C140" s="75" t="s">
        <v>117</v>
      </c>
      <c r="D140" s="131">
        <v>72.87</v>
      </c>
      <c r="E140" s="131">
        <v>72.87</v>
      </c>
    </row>
    <row r="141" spans="1:5" s="80" customFormat="1" ht="31.5" outlineLevel="1" x14ac:dyDescent="0.25">
      <c r="A141" s="78" t="s">
        <v>848</v>
      </c>
      <c r="B141" s="79" t="s">
        <v>708</v>
      </c>
      <c r="C141" s="79" t="s">
        <v>9</v>
      </c>
      <c r="D141" s="132">
        <v>0.74</v>
      </c>
      <c r="E141" s="132">
        <v>0.74</v>
      </c>
    </row>
    <row r="142" spans="1:5" s="80" customFormat="1" outlineLevel="1" x14ac:dyDescent="0.25">
      <c r="A142" s="74" t="s">
        <v>124</v>
      </c>
      <c r="B142" s="75" t="s">
        <v>708</v>
      </c>
      <c r="C142" s="75" t="s">
        <v>117</v>
      </c>
      <c r="D142" s="131">
        <v>0.74</v>
      </c>
      <c r="E142" s="131">
        <v>0.74</v>
      </c>
    </row>
    <row r="143" spans="1:5" s="77" customFormat="1" ht="47.25" x14ac:dyDescent="0.25">
      <c r="A143" s="78" t="s">
        <v>1110</v>
      </c>
      <c r="B143" s="79" t="s">
        <v>416</v>
      </c>
      <c r="C143" s="79" t="s">
        <v>9</v>
      </c>
      <c r="D143" s="132">
        <v>12758.7</v>
      </c>
      <c r="E143" s="132">
        <v>12494.2</v>
      </c>
    </row>
    <row r="144" spans="1:5" s="77" customFormat="1" x14ac:dyDescent="0.25">
      <c r="A144" s="78" t="s">
        <v>1108</v>
      </c>
      <c r="B144" s="79" t="s">
        <v>426</v>
      </c>
      <c r="C144" s="79" t="s">
        <v>9</v>
      </c>
      <c r="D144" s="132">
        <v>122.4</v>
      </c>
      <c r="E144" s="132">
        <v>122.5</v>
      </c>
    </row>
    <row r="145" spans="1:5" s="80" customFormat="1" x14ac:dyDescent="0.25">
      <c r="A145" s="74" t="s">
        <v>124</v>
      </c>
      <c r="B145" s="75" t="s">
        <v>426</v>
      </c>
      <c r="C145" s="75" t="s">
        <v>117</v>
      </c>
      <c r="D145" s="131">
        <v>122.4</v>
      </c>
      <c r="E145" s="131">
        <v>122.5</v>
      </c>
    </row>
    <row r="146" spans="1:5" s="80" customFormat="1" x14ac:dyDescent="0.25">
      <c r="A146" s="78" t="s">
        <v>77</v>
      </c>
      <c r="B146" s="79" t="s">
        <v>417</v>
      </c>
      <c r="C146" s="79" t="s">
        <v>9</v>
      </c>
      <c r="D146" s="132">
        <v>2084</v>
      </c>
      <c r="E146" s="132">
        <v>2084</v>
      </c>
    </row>
    <row r="147" spans="1:5" s="77" customFormat="1" ht="47.25" x14ac:dyDescent="0.25">
      <c r="A147" s="74" t="s">
        <v>115</v>
      </c>
      <c r="B147" s="75" t="s">
        <v>417</v>
      </c>
      <c r="C147" s="75" t="s">
        <v>113</v>
      </c>
      <c r="D147" s="131">
        <v>2026.47</v>
      </c>
      <c r="E147" s="131">
        <v>2026.47</v>
      </c>
    </row>
    <row r="148" spans="1:5" s="77" customFormat="1" x14ac:dyDescent="0.25">
      <c r="A148" s="74" t="s">
        <v>124</v>
      </c>
      <c r="B148" s="75" t="s">
        <v>417</v>
      </c>
      <c r="C148" s="75" t="s">
        <v>117</v>
      </c>
      <c r="D148" s="131">
        <v>57.53</v>
      </c>
      <c r="E148" s="131">
        <v>57.53</v>
      </c>
    </row>
    <row r="149" spans="1:5" s="77" customFormat="1" ht="31.5" outlineLevel="1" x14ac:dyDescent="0.25">
      <c r="A149" s="78" t="s">
        <v>1112</v>
      </c>
      <c r="B149" s="79" t="s">
        <v>427</v>
      </c>
      <c r="C149" s="79" t="s">
        <v>9</v>
      </c>
      <c r="D149" s="132">
        <v>0.1</v>
      </c>
      <c r="E149" s="132">
        <v>0.1</v>
      </c>
    </row>
    <row r="150" spans="1:5" s="77" customFormat="1" outlineLevel="1" x14ac:dyDescent="0.25">
      <c r="A150" s="74" t="s">
        <v>124</v>
      </c>
      <c r="B150" s="75" t="s">
        <v>427</v>
      </c>
      <c r="C150" s="75" t="s">
        <v>117</v>
      </c>
      <c r="D150" s="131">
        <v>0.1</v>
      </c>
      <c r="E150" s="131">
        <v>0.1</v>
      </c>
    </row>
    <row r="151" spans="1:5" s="80" customFormat="1" ht="63" x14ac:dyDescent="0.25">
      <c r="A151" s="78" t="s">
        <v>1111</v>
      </c>
      <c r="B151" s="79" t="s">
        <v>418</v>
      </c>
      <c r="C151" s="79" t="s">
        <v>9</v>
      </c>
      <c r="D151" s="132">
        <v>1267</v>
      </c>
      <c r="E151" s="132">
        <v>1013</v>
      </c>
    </row>
    <row r="152" spans="1:5" s="80" customFormat="1" ht="47.25" x14ac:dyDescent="0.25">
      <c r="A152" s="74" t="s">
        <v>115</v>
      </c>
      <c r="B152" s="75" t="s">
        <v>418</v>
      </c>
      <c r="C152" s="75" t="s">
        <v>113</v>
      </c>
      <c r="D152" s="131">
        <v>1267</v>
      </c>
      <c r="E152" s="131">
        <v>1013</v>
      </c>
    </row>
    <row r="153" spans="1:5" s="80" customFormat="1" ht="63" x14ac:dyDescent="0.25">
      <c r="A153" s="78" t="s">
        <v>96</v>
      </c>
      <c r="B153" s="79" t="s">
        <v>456</v>
      </c>
      <c r="C153" s="79" t="s">
        <v>9</v>
      </c>
      <c r="D153" s="132">
        <v>9257</v>
      </c>
      <c r="E153" s="132">
        <v>9257</v>
      </c>
    </row>
    <row r="154" spans="1:5" s="77" customFormat="1" x14ac:dyDescent="0.25">
      <c r="A154" s="74" t="s">
        <v>124</v>
      </c>
      <c r="B154" s="75" t="s">
        <v>456</v>
      </c>
      <c r="C154" s="75" t="s">
        <v>117</v>
      </c>
      <c r="D154" s="131">
        <v>181</v>
      </c>
      <c r="E154" s="131">
        <v>181</v>
      </c>
    </row>
    <row r="155" spans="1:5" s="80" customFormat="1" x14ac:dyDescent="0.25">
      <c r="A155" s="74" t="s">
        <v>125</v>
      </c>
      <c r="B155" s="75" t="s">
        <v>456</v>
      </c>
      <c r="C155" s="75" t="s">
        <v>118</v>
      </c>
      <c r="D155" s="131">
        <v>9076</v>
      </c>
      <c r="E155" s="131">
        <v>9076</v>
      </c>
    </row>
    <row r="156" spans="1:5" s="80" customFormat="1" ht="63" x14ac:dyDescent="0.25">
      <c r="A156" s="78" t="s">
        <v>1109</v>
      </c>
      <c r="B156" s="79" t="s">
        <v>457</v>
      </c>
      <c r="C156" s="79" t="s">
        <v>9</v>
      </c>
      <c r="D156" s="132">
        <v>28.2</v>
      </c>
      <c r="E156" s="132">
        <v>17.600000000000001</v>
      </c>
    </row>
    <row r="157" spans="1:5" s="77" customFormat="1" x14ac:dyDescent="0.25">
      <c r="A157" s="78" t="s">
        <v>462</v>
      </c>
      <c r="B157" s="79" t="s">
        <v>461</v>
      </c>
      <c r="C157" s="79" t="s">
        <v>9</v>
      </c>
      <c r="D157" s="132">
        <v>28.2</v>
      </c>
      <c r="E157" s="132">
        <v>17.600000000000001</v>
      </c>
    </row>
    <row r="158" spans="1:5" s="80" customFormat="1" x14ac:dyDescent="0.25">
      <c r="A158" s="74" t="s">
        <v>124</v>
      </c>
      <c r="B158" s="75" t="s">
        <v>461</v>
      </c>
      <c r="C158" s="75" t="s">
        <v>117</v>
      </c>
      <c r="D158" s="131">
        <v>28.2</v>
      </c>
      <c r="E158" s="131">
        <v>17.600000000000001</v>
      </c>
    </row>
    <row r="159" spans="1:5" s="77" customFormat="1" collapsed="1" x14ac:dyDescent="0.25">
      <c r="A159" s="78" t="s">
        <v>127</v>
      </c>
      <c r="B159" s="79" t="s">
        <v>419</v>
      </c>
      <c r="C159" s="79" t="s">
        <v>9</v>
      </c>
      <c r="D159" s="132">
        <v>2386</v>
      </c>
      <c r="E159" s="132">
        <v>2386</v>
      </c>
    </row>
    <row r="160" spans="1:5" s="80" customFormat="1" x14ac:dyDescent="0.25">
      <c r="A160" s="78" t="s">
        <v>128</v>
      </c>
      <c r="B160" s="79" t="s">
        <v>435</v>
      </c>
      <c r="C160" s="79" t="s">
        <v>9</v>
      </c>
      <c r="D160" s="132">
        <v>86</v>
      </c>
      <c r="E160" s="132">
        <v>86</v>
      </c>
    </row>
    <row r="161" spans="1:5" s="80" customFormat="1" x14ac:dyDescent="0.25">
      <c r="A161" s="74" t="s">
        <v>123</v>
      </c>
      <c r="B161" s="75" t="s">
        <v>435</v>
      </c>
      <c r="C161" s="75" t="s">
        <v>119</v>
      </c>
      <c r="D161" s="131">
        <v>86</v>
      </c>
      <c r="E161" s="131">
        <v>86</v>
      </c>
    </row>
    <row r="162" spans="1:5" s="80" customFormat="1" ht="31.5" x14ac:dyDescent="0.25">
      <c r="A162" s="78" t="s">
        <v>16</v>
      </c>
      <c r="B162" s="79" t="s">
        <v>420</v>
      </c>
      <c r="C162" s="79" t="s">
        <v>9</v>
      </c>
      <c r="D162" s="132">
        <v>2300</v>
      </c>
      <c r="E162" s="132">
        <v>2300</v>
      </c>
    </row>
    <row r="163" spans="1:5" s="80" customFormat="1" ht="47.25" x14ac:dyDescent="0.25">
      <c r="A163" s="74" t="s">
        <v>115</v>
      </c>
      <c r="B163" s="75" t="s">
        <v>420</v>
      </c>
      <c r="C163" s="75" t="s">
        <v>113</v>
      </c>
      <c r="D163" s="131">
        <v>2300</v>
      </c>
      <c r="E163" s="131">
        <v>2300</v>
      </c>
    </row>
    <row r="164" spans="1:5" s="77" customFormat="1" ht="47.25" x14ac:dyDescent="0.25">
      <c r="A164" s="78" t="s">
        <v>655</v>
      </c>
      <c r="B164" s="79" t="s">
        <v>654</v>
      </c>
      <c r="C164" s="79" t="s">
        <v>9</v>
      </c>
      <c r="D164" s="132">
        <v>1.3</v>
      </c>
      <c r="E164" s="132">
        <v>1.1000000000000001</v>
      </c>
    </row>
    <row r="165" spans="1:5" s="77" customFormat="1" x14ac:dyDescent="0.25">
      <c r="A165" s="74" t="s">
        <v>124</v>
      </c>
      <c r="B165" s="75" t="s">
        <v>654</v>
      </c>
      <c r="C165" s="75" t="s">
        <v>117</v>
      </c>
      <c r="D165" s="131">
        <v>1.3</v>
      </c>
      <c r="E165" s="131">
        <v>1.1000000000000001</v>
      </c>
    </row>
    <row r="166" spans="1:5" s="77" customFormat="1" ht="31.5" x14ac:dyDescent="0.25">
      <c r="A166" s="78" t="s">
        <v>576</v>
      </c>
      <c r="B166" s="79" t="s">
        <v>421</v>
      </c>
      <c r="C166" s="79" t="s">
        <v>9</v>
      </c>
      <c r="D166" s="132">
        <v>45393.162500000013</v>
      </c>
      <c r="E166" s="132">
        <v>43830.283770000009</v>
      </c>
    </row>
    <row r="167" spans="1:5" s="80" customFormat="1" x14ac:dyDescent="0.25">
      <c r="A167" s="78" t="s">
        <v>210</v>
      </c>
      <c r="B167" s="79" t="s">
        <v>790</v>
      </c>
      <c r="C167" s="79" t="s">
        <v>9</v>
      </c>
      <c r="D167" s="132">
        <v>1479.3</v>
      </c>
      <c r="E167" s="132">
        <v>1479.3</v>
      </c>
    </row>
    <row r="168" spans="1:5" s="77" customFormat="1" ht="47.25" x14ac:dyDescent="0.25">
      <c r="A168" s="74" t="s">
        <v>115</v>
      </c>
      <c r="B168" s="75" t="s">
        <v>790</v>
      </c>
      <c r="C168" s="75" t="s">
        <v>113</v>
      </c>
      <c r="D168" s="131">
        <v>1479.3</v>
      </c>
      <c r="E168" s="131">
        <v>1479.3</v>
      </c>
    </row>
    <row r="169" spans="1:5" s="77" customFormat="1" x14ac:dyDescent="0.25">
      <c r="A169" s="78" t="s">
        <v>29</v>
      </c>
      <c r="B169" s="79" t="s">
        <v>428</v>
      </c>
      <c r="C169" s="79" t="s">
        <v>9</v>
      </c>
      <c r="D169" s="132">
        <v>1069.04</v>
      </c>
      <c r="E169" s="132">
        <v>1069.04</v>
      </c>
    </row>
    <row r="170" spans="1:5" s="77" customFormat="1" ht="47.25" x14ac:dyDescent="0.25">
      <c r="A170" s="74" t="s">
        <v>115</v>
      </c>
      <c r="B170" s="75" t="s">
        <v>428</v>
      </c>
      <c r="C170" s="75" t="s">
        <v>113</v>
      </c>
      <c r="D170" s="131">
        <v>1069.04</v>
      </c>
      <c r="E170" s="131">
        <v>1069.04</v>
      </c>
    </row>
    <row r="171" spans="1:5" s="77" customFormat="1" x14ac:dyDescent="0.25">
      <c r="A171" s="78" t="s">
        <v>79</v>
      </c>
      <c r="B171" s="79" t="s">
        <v>429</v>
      </c>
      <c r="C171" s="79" t="s">
        <v>9</v>
      </c>
      <c r="D171" s="132">
        <v>684.17250000000001</v>
      </c>
      <c r="E171" s="132">
        <v>685.01499999999999</v>
      </c>
    </row>
    <row r="172" spans="1:5" s="80" customFormat="1" outlineLevel="1" x14ac:dyDescent="0.25">
      <c r="A172" s="74" t="s">
        <v>124</v>
      </c>
      <c r="B172" s="75" t="s">
        <v>429</v>
      </c>
      <c r="C172" s="75" t="s">
        <v>117</v>
      </c>
      <c r="D172" s="131">
        <v>593.27250000000004</v>
      </c>
      <c r="E172" s="131">
        <v>594.11500000000001</v>
      </c>
    </row>
    <row r="173" spans="1:5" s="80" customFormat="1" x14ac:dyDescent="0.25">
      <c r="A173" s="74" t="s">
        <v>116</v>
      </c>
      <c r="B173" s="75" t="s">
        <v>429</v>
      </c>
      <c r="C173" s="75" t="s">
        <v>114</v>
      </c>
      <c r="D173" s="131">
        <v>90.9</v>
      </c>
      <c r="E173" s="131">
        <v>90.9</v>
      </c>
    </row>
    <row r="174" spans="1:5" s="80" customFormat="1" x14ac:dyDescent="0.25">
      <c r="A174" s="78" t="s">
        <v>26</v>
      </c>
      <c r="B174" s="79" t="s">
        <v>422</v>
      </c>
      <c r="C174" s="79" t="s">
        <v>9</v>
      </c>
      <c r="D174" s="132">
        <v>22003.360000000001</v>
      </c>
      <c r="E174" s="132">
        <v>22003.360000000001</v>
      </c>
    </row>
    <row r="175" spans="1:5" s="80" customFormat="1" ht="47.25" x14ac:dyDescent="0.25">
      <c r="A175" s="74" t="s">
        <v>115</v>
      </c>
      <c r="B175" s="75" t="s">
        <v>422</v>
      </c>
      <c r="C175" s="75" t="s">
        <v>113</v>
      </c>
      <c r="D175" s="131">
        <v>22003.360000000001</v>
      </c>
      <c r="E175" s="131">
        <v>22003.360000000001</v>
      </c>
    </row>
    <row r="176" spans="1:5" s="80" customFormat="1" collapsed="1" x14ac:dyDescent="0.25">
      <c r="A176" s="78" t="s">
        <v>129</v>
      </c>
      <c r="B176" s="79" t="s">
        <v>430</v>
      </c>
      <c r="C176" s="79" t="s">
        <v>9</v>
      </c>
      <c r="D176" s="132">
        <v>8742.69</v>
      </c>
      <c r="E176" s="132">
        <v>7178.9687699999995</v>
      </c>
    </row>
    <row r="177" spans="1:5" s="80" customFormat="1" x14ac:dyDescent="0.25">
      <c r="A177" s="74" t="s">
        <v>1003</v>
      </c>
      <c r="B177" s="75" t="s">
        <v>430</v>
      </c>
      <c r="C177" s="75" t="s">
        <v>113</v>
      </c>
      <c r="D177" s="131">
        <v>4352.5</v>
      </c>
      <c r="E177" s="131">
        <v>4352.5</v>
      </c>
    </row>
    <row r="178" spans="1:5" s="80" customFormat="1" x14ac:dyDescent="0.25">
      <c r="A178" s="74" t="s">
        <v>124</v>
      </c>
      <c r="B178" s="75" t="s">
        <v>430</v>
      </c>
      <c r="C178" s="75" t="s">
        <v>117</v>
      </c>
      <c r="D178" s="131">
        <v>4118.49</v>
      </c>
      <c r="E178" s="131">
        <v>2554.7687699999997</v>
      </c>
    </row>
    <row r="179" spans="1:5" s="77" customFormat="1" x14ac:dyDescent="0.25">
      <c r="A179" s="74" t="s">
        <v>116</v>
      </c>
      <c r="B179" s="75" t="s">
        <v>430</v>
      </c>
      <c r="C179" s="75" t="s">
        <v>114</v>
      </c>
      <c r="D179" s="131">
        <v>271.7</v>
      </c>
      <c r="E179" s="131">
        <v>271.7</v>
      </c>
    </row>
    <row r="180" spans="1:5" s="77" customFormat="1" collapsed="1" x14ac:dyDescent="0.25">
      <c r="A180" s="78" t="s">
        <v>82</v>
      </c>
      <c r="B180" s="79" t="s">
        <v>436</v>
      </c>
      <c r="C180" s="79" t="s">
        <v>9</v>
      </c>
      <c r="D180" s="132">
        <v>1448.3</v>
      </c>
      <c r="E180" s="132">
        <v>1448.3</v>
      </c>
    </row>
    <row r="181" spans="1:5" s="80" customFormat="1" ht="47.25" x14ac:dyDescent="0.25">
      <c r="A181" s="74" t="s">
        <v>115</v>
      </c>
      <c r="B181" s="75" t="s">
        <v>436</v>
      </c>
      <c r="C181" s="75" t="s">
        <v>113</v>
      </c>
      <c r="D181" s="131">
        <v>1448.3</v>
      </c>
      <c r="E181" s="131">
        <v>1448.3</v>
      </c>
    </row>
    <row r="182" spans="1:5" s="80" customFormat="1" collapsed="1" x14ac:dyDescent="0.25">
      <c r="A182" s="78" t="s">
        <v>682</v>
      </c>
      <c r="B182" s="79" t="s">
        <v>681</v>
      </c>
      <c r="C182" s="79" t="s">
        <v>9</v>
      </c>
      <c r="D182" s="132">
        <v>8058.3</v>
      </c>
      <c r="E182" s="132">
        <v>8058.3</v>
      </c>
    </row>
    <row r="183" spans="1:5" s="80" customFormat="1" ht="47.25" x14ac:dyDescent="0.25">
      <c r="A183" s="74" t="s">
        <v>115</v>
      </c>
      <c r="B183" s="75" t="s">
        <v>681</v>
      </c>
      <c r="C183" s="75" t="s">
        <v>113</v>
      </c>
      <c r="D183" s="131">
        <v>8058.3</v>
      </c>
      <c r="E183" s="131">
        <v>8058.3</v>
      </c>
    </row>
    <row r="184" spans="1:5" s="77" customFormat="1" x14ac:dyDescent="0.25">
      <c r="A184" s="78" t="s">
        <v>354</v>
      </c>
      <c r="B184" s="79" t="s">
        <v>431</v>
      </c>
      <c r="C184" s="79" t="s">
        <v>9</v>
      </c>
      <c r="D184" s="132">
        <v>1908</v>
      </c>
      <c r="E184" s="132">
        <v>1908</v>
      </c>
    </row>
    <row r="185" spans="1:5" s="80" customFormat="1" ht="47.25" x14ac:dyDescent="0.25">
      <c r="A185" s="74" t="s">
        <v>115</v>
      </c>
      <c r="B185" s="75" t="s">
        <v>431</v>
      </c>
      <c r="C185" s="75" t="s">
        <v>113</v>
      </c>
      <c r="D185" s="131">
        <v>1506.1</v>
      </c>
      <c r="E185" s="131">
        <v>1506.1</v>
      </c>
    </row>
    <row r="186" spans="1:5" s="80" customFormat="1" x14ac:dyDescent="0.25">
      <c r="A186" s="74" t="s">
        <v>124</v>
      </c>
      <c r="B186" s="75" t="s">
        <v>431</v>
      </c>
      <c r="C186" s="75" t="s">
        <v>117</v>
      </c>
      <c r="D186" s="131">
        <v>395.4</v>
      </c>
      <c r="E186" s="131">
        <v>395.4</v>
      </c>
    </row>
    <row r="187" spans="1:5" s="80" customFormat="1" x14ac:dyDescent="0.25">
      <c r="A187" s="74" t="s">
        <v>116</v>
      </c>
      <c r="B187" s="75" t="s">
        <v>431</v>
      </c>
      <c r="C187" s="75" t="s">
        <v>114</v>
      </c>
      <c r="D187" s="131">
        <v>6.5</v>
      </c>
      <c r="E187" s="131">
        <v>6.5</v>
      </c>
    </row>
    <row r="188" spans="1:5" s="77" customFormat="1" ht="31.5" collapsed="1" x14ac:dyDescent="0.25">
      <c r="A188" s="78" t="s">
        <v>578</v>
      </c>
      <c r="B188" s="79" t="s">
        <v>453</v>
      </c>
      <c r="C188" s="79" t="s">
        <v>9</v>
      </c>
      <c r="D188" s="132">
        <v>2128.8000000000002</v>
      </c>
      <c r="E188" s="132">
        <v>2128.8000000000002</v>
      </c>
    </row>
    <row r="189" spans="1:5" s="80" customFormat="1" x14ac:dyDescent="0.25">
      <c r="A189" s="74" t="s">
        <v>124</v>
      </c>
      <c r="B189" s="75" t="s">
        <v>453</v>
      </c>
      <c r="C189" s="75" t="s">
        <v>117</v>
      </c>
      <c r="D189" s="131">
        <v>21</v>
      </c>
      <c r="E189" s="131">
        <v>21</v>
      </c>
    </row>
    <row r="190" spans="1:5" s="80" customFormat="1" x14ac:dyDescent="0.25">
      <c r="A190" s="74" t="s">
        <v>125</v>
      </c>
      <c r="B190" s="75" t="s">
        <v>453</v>
      </c>
      <c r="C190" s="75" t="s">
        <v>118</v>
      </c>
      <c r="D190" s="131">
        <v>2107.8000000000002</v>
      </c>
      <c r="E190" s="131">
        <v>2107.8000000000002</v>
      </c>
    </row>
    <row r="191" spans="1:5" s="80" customFormat="1" ht="63" collapsed="1" x14ac:dyDescent="0.25">
      <c r="A191" s="78" t="s">
        <v>1124</v>
      </c>
      <c r="B191" s="79" t="s">
        <v>677</v>
      </c>
      <c r="C191" s="79" t="s">
        <v>9</v>
      </c>
      <c r="D191" s="132">
        <v>5644.1</v>
      </c>
      <c r="E191" s="132">
        <v>3527.6</v>
      </c>
    </row>
    <row r="192" spans="1:5" s="80" customFormat="1" ht="31.5" x14ac:dyDescent="0.25">
      <c r="A192" s="84" t="s">
        <v>469</v>
      </c>
      <c r="B192" s="75" t="s">
        <v>677</v>
      </c>
      <c r="C192" s="75" t="s">
        <v>213</v>
      </c>
      <c r="D192" s="131">
        <v>5644.1</v>
      </c>
      <c r="E192" s="131">
        <v>3527.6</v>
      </c>
    </row>
    <row r="193" spans="1:5" s="80" customFormat="1" collapsed="1" x14ac:dyDescent="0.25">
      <c r="A193" s="78" t="s">
        <v>692</v>
      </c>
      <c r="B193" s="79" t="s">
        <v>381</v>
      </c>
      <c r="C193" s="79" t="s">
        <v>9</v>
      </c>
      <c r="D193" s="132">
        <v>3484.2</v>
      </c>
      <c r="E193" s="132">
        <v>3784.2</v>
      </c>
    </row>
    <row r="194" spans="1:5" s="80" customFormat="1" ht="31.5" outlineLevel="1" x14ac:dyDescent="0.25">
      <c r="A194" s="78" t="s">
        <v>519</v>
      </c>
      <c r="B194" s="79" t="s">
        <v>517</v>
      </c>
      <c r="C194" s="79" t="s">
        <v>9</v>
      </c>
      <c r="D194" s="132">
        <v>2892.2</v>
      </c>
      <c r="E194" s="132">
        <v>3192.2</v>
      </c>
    </row>
    <row r="195" spans="1:5" s="80" customFormat="1" outlineLevel="1" x14ac:dyDescent="0.25">
      <c r="A195" s="74" t="s">
        <v>124</v>
      </c>
      <c r="B195" s="75" t="s">
        <v>517</v>
      </c>
      <c r="C195" s="75" t="s">
        <v>117</v>
      </c>
      <c r="D195" s="131">
        <v>2892.2</v>
      </c>
      <c r="E195" s="131">
        <v>3192.2</v>
      </c>
    </row>
    <row r="196" spans="1:5" s="77" customFormat="1" x14ac:dyDescent="0.25">
      <c r="A196" s="78" t="s">
        <v>133</v>
      </c>
      <c r="B196" s="79" t="s">
        <v>382</v>
      </c>
      <c r="C196" s="79" t="s">
        <v>9</v>
      </c>
      <c r="D196" s="132">
        <v>592</v>
      </c>
      <c r="E196" s="132">
        <v>592</v>
      </c>
    </row>
    <row r="197" spans="1:5" s="77" customFormat="1" ht="47.25" x14ac:dyDescent="0.25">
      <c r="A197" s="74" t="s">
        <v>115</v>
      </c>
      <c r="B197" s="75" t="s">
        <v>382</v>
      </c>
      <c r="C197" s="75" t="s">
        <v>113</v>
      </c>
      <c r="D197" s="131">
        <v>592</v>
      </c>
      <c r="E197" s="131">
        <v>592</v>
      </c>
    </row>
    <row r="198" spans="1:5" s="80" customFormat="1" x14ac:dyDescent="0.25">
      <c r="A198" s="78" t="s">
        <v>15</v>
      </c>
      <c r="B198" s="79" t="s">
        <v>433</v>
      </c>
      <c r="C198" s="79" t="s">
        <v>9</v>
      </c>
      <c r="D198" s="132">
        <v>89023.287499999991</v>
      </c>
      <c r="E198" s="132">
        <v>89006.774999999994</v>
      </c>
    </row>
    <row r="199" spans="1:5" s="80" customFormat="1" x14ac:dyDescent="0.25">
      <c r="A199" s="78" t="s">
        <v>567</v>
      </c>
      <c r="B199" s="79" t="s">
        <v>1150</v>
      </c>
      <c r="C199" s="79" t="s">
        <v>9</v>
      </c>
      <c r="D199" s="132">
        <v>20787.2</v>
      </c>
      <c r="E199" s="132">
        <v>20787.2</v>
      </c>
    </row>
    <row r="200" spans="1:5" s="80" customFormat="1" x14ac:dyDescent="0.25">
      <c r="A200" s="78" t="s">
        <v>38</v>
      </c>
      <c r="B200" s="79" t="s">
        <v>1151</v>
      </c>
      <c r="C200" s="79" t="s">
        <v>9</v>
      </c>
      <c r="D200" s="132">
        <v>20787.2</v>
      </c>
      <c r="E200" s="132">
        <v>20787.2</v>
      </c>
    </row>
    <row r="201" spans="1:5" s="80" customFormat="1" ht="47.25" x14ac:dyDescent="0.25">
      <c r="A201" s="264" t="s">
        <v>115</v>
      </c>
      <c r="B201" s="75" t="s">
        <v>1151</v>
      </c>
      <c r="C201" s="265" t="s">
        <v>113</v>
      </c>
      <c r="D201" s="132">
        <v>18939</v>
      </c>
      <c r="E201" s="132">
        <v>18939</v>
      </c>
    </row>
    <row r="202" spans="1:5" s="80" customFormat="1" x14ac:dyDescent="0.25">
      <c r="A202" s="264" t="s">
        <v>124</v>
      </c>
      <c r="B202" s="75" t="s">
        <v>1151</v>
      </c>
      <c r="C202" s="265" t="s">
        <v>117</v>
      </c>
      <c r="D202" s="132">
        <v>1826.5</v>
      </c>
      <c r="E202" s="132">
        <v>1826.5</v>
      </c>
    </row>
    <row r="203" spans="1:5" s="80" customFormat="1" x14ac:dyDescent="0.25">
      <c r="A203" s="74" t="s">
        <v>116</v>
      </c>
      <c r="B203" s="75" t="s">
        <v>1151</v>
      </c>
      <c r="C203" s="75" t="s">
        <v>114</v>
      </c>
      <c r="D203" s="132">
        <v>21.7</v>
      </c>
      <c r="E203" s="132">
        <v>21.7</v>
      </c>
    </row>
    <row r="204" spans="1:5" s="77" customFormat="1" ht="47.25" collapsed="1" x14ac:dyDescent="0.25">
      <c r="A204" s="78" t="s">
        <v>1110</v>
      </c>
      <c r="B204" s="79" t="s">
        <v>454</v>
      </c>
      <c r="C204" s="79" t="s">
        <v>9</v>
      </c>
      <c r="D204" s="132">
        <v>1413.3</v>
      </c>
      <c r="E204" s="132">
        <v>1413.3</v>
      </c>
    </row>
    <row r="205" spans="1:5" s="77" customFormat="1" ht="63" x14ac:dyDescent="0.25">
      <c r="A205" s="78" t="s">
        <v>21</v>
      </c>
      <c r="B205" s="79" t="s">
        <v>455</v>
      </c>
      <c r="C205" s="79" t="s">
        <v>9</v>
      </c>
      <c r="D205" s="132">
        <v>575</v>
      </c>
      <c r="E205" s="132">
        <v>575</v>
      </c>
    </row>
    <row r="206" spans="1:5" s="80" customFormat="1" ht="47.25" x14ac:dyDescent="0.25">
      <c r="A206" s="74" t="s">
        <v>115</v>
      </c>
      <c r="B206" s="75" t="s">
        <v>455</v>
      </c>
      <c r="C206" s="75" t="s">
        <v>113</v>
      </c>
      <c r="D206" s="131">
        <v>150.16</v>
      </c>
      <c r="E206" s="131">
        <v>150.16</v>
      </c>
    </row>
    <row r="207" spans="1:5" s="80" customFormat="1" ht="31.5" x14ac:dyDescent="0.25">
      <c r="A207" s="74" t="s">
        <v>843</v>
      </c>
      <c r="B207" s="75" t="s">
        <v>455</v>
      </c>
      <c r="C207" s="75" t="s">
        <v>490</v>
      </c>
      <c r="D207" s="131">
        <v>424.84</v>
      </c>
      <c r="E207" s="131">
        <v>424.84</v>
      </c>
    </row>
    <row r="208" spans="1:5" s="80" customFormat="1" ht="63" x14ac:dyDescent="0.25">
      <c r="A208" s="78" t="s">
        <v>1114</v>
      </c>
      <c r="B208" s="79" t="s">
        <v>1147</v>
      </c>
      <c r="C208" s="79" t="s">
        <v>9</v>
      </c>
      <c r="D208" s="132">
        <v>838.3</v>
      </c>
      <c r="E208" s="132">
        <v>838.3</v>
      </c>
    </row>
    <row r="209" spans="1:5" s="80" customFormat="1" ht="47.25" x14ac:dyDescent="0.25">
      <c r="A209" s="74" t="s">
        <v>115</v>
      </c>
      <c r="B209" s="75" t="s">
        <v>1147</v>
      </c>
      <c r="C209" s="75" t="s">
        <v>113</v>
      </c>
      <c r="D209" s="131">
        <v>830</v>
      </c>
      <c r="E209" s="131">
        <v>830</v>
      </c>
    </row>
    <row r="210" spans="1:5" s="80" customFormat="1" x14ac:dyDescent="0.25">
      <c r="A210" s="74" t="s">
        <v>124</v>
      </c>
      <c r="B210" s="75" t="s">
        <v>1147</v>
      </c>
      <c r="C210" s="75" t="s">
        <v>117</v>
      </c>
      <c r="D210" s="131">
        <v>8.3000000000000007</v>
      </c>
      <c r="E210" s="131">
        <v>8.3000000000000007</v>
      </c>
    </row>
    <row r="211" spans="1:5" s="77" customFormat="1" x14ac:dyDescent="0.25">
      <c r="A211" s="78" t="s">
        <v>127</v>
      </c>
      <c r="B211" s="79" t="s">
        <v>447</v>
      </c>
      <c r="C211" s="79" t="s">
        <v>9</v>
      </c>
      <c r="D211" s="132">
        <v>3433.6</v>
      </c>
      <c r="E211" s="132">
        <v>3433.6</v>
      </c>
    </row>
    <row r="212" spans="1:5" s="80" customFormat="1" ht="31.5" x14ac:dyDescent="0.25">
      <c r="A212" s="78" t="s">
        <v>364</v>
      </c>
      <c r="B212" s="79" t="s">
        <v>448</v>
      </c>
      <c r="C212" s="79" t="s">
        <v>9</v>
      </c>
      <c r="D212" s="132">
        <v>3433.6</v>
      </c>
      <c r="E212" s="132">
        <v>3433.6</v>
      </c>
    </row>
    <row r="213" spans="1:5" s="80" customFormat="1" ht="47.25" x14ac:dyDescent="0.25">
      <c r="A213" s="83" t="s">
        <v>115</v>
      </c>
      <c r="B213" s="75" t="s">
        <v>448</v>
      </c>
      <c r="C213" s="75" t="s">
        <v>113</v>
      </c>
      <c r="D213" s="131">
        <v>3433.6</v>
      </c>
      <c r="E213" s="131">
        <v>3433.6</v>
      </c>
    </row>
    <row r="214" spans="1:5" s="77" customFormat="1" ht="31.5" outlineLevel="1" x14ac:dyDescent="0.25">
      <c r="A214" s="78" t="s">
        <v>84</v>
      </c>
      <c r="B214" s="79" t="s">
        <v>437</v>
      </c>
      <c r="C214" s="79" t="s">
        <v>9</v>
      </c>
      <c r="D214" s="132">
        <v>2.5</v>
      </c>
      <c r="E214" s="132">
        <v>2.5</v>
      </c>
    </row>
    <row r="215" spans="1:5" s="77" customFormat="1" outlineLevel="1" x14ac:dyDescent="0.25">
      <c r="A215" s="74" t="s">
        <v>124</v>
      </c>
      <c r="B215" s="75" t="s">
        <v>437</v>
      </c>
      <c r="C215" s="75" t="s">
        <v>117</v>
      </c>
      <c r="D215" s="131">
        <v>2.5</v>
      </c>
      <c r="E215" s="131">
        <v>2.5</v>
      </c>
    </row>
    <row r="216" spans="1:5" s="77" customFormat="1" ht="31.5" outlineLevel="1" x14ac:dyDescent="0.25">
      <c r="A216" s="78" t="s">
        <v>209</v>
      </c>
      <c r="B216" s="79" t="s">
        <v>445</v>
      </c>
      <c r="C216" s="79" t="s">
        <v>9</v>
      </c>
      <c r="D216" s="132">
        <v>2.5</v>
      </c>
      <c r="E216" s="132">
        <v>2.5</v>
      </c>
    </row>
    <row r="217" spans="1:5" s="80" customFormat="1" outlineLevel="1" x14ac:dyDescent="0.25">
      <c r="A217" s="74" t="s">
        <v>124</v>
      </c>
      <c r="B217" s="75" t="s">
        <v>445</v>
      </c>
      <c r="C217" s="75" t="s">
        <v>117</v>
      </c>
      <c r="D217" s="131">
        <v>2.5</v>
      </c>
      <c r="E217" s="131">
        <v>2.5</v>
      </c>
    </row>
    <row r="218" spans="1:5" s="77" customFormat="1" outlineLevel="1" x14ac:dyDescent="0.25">
      <c r="A218" s="78" t="s">
        <v>131</v>
      </c>
      <c r="B218" s="79" t="s">
        <v>446</v>
      </c>
      <c r="C218" s="79" t="s">
        <v>9</v>
      </c>
      <c r="D218" s="132">
        <v>2.5</v>
      </c>
      <c r="E218" s="132">
        <v>2.5</v>
      </c>
    </row>
    <row r="219" spans="1:5" s="77" customFormat="1" outlineLevel="1" x14ac:dyDescent="0.25">
      <c r="A219" s="74" t="s">
        <v>124</v>
      </c>
      <c r="B219" s="75" t="s">
        <v>446</v>
      </c>
      <c r="C219" s="75" t="s">
        <v>117</v>
      </c>
      <c r="D219" s="131">
        <v>2.5</v>
      </c>
      <c r="E219" s="131">
        <v>2.5</v>
      </c>
    </row>
    <row r="220" spans="1:5" s="80" customFormat="1" ht="31.5" x14ac:dyDescent="0.25">
      <c r="A220" s="78" t="s">
        <v>997</v>
      </c>
      <c r="B220" s="79" t="s">
        <v>493</v>
      </c>
      <c r="C220" s="79" t="s">
        <v>9</v>
      </c>
      <c r="D220" s="132">
        <v>1613</v>
      </c>
      <c r="E220" s="132">
        <v>1613</v>
      </c>
    </row>
    <row r="221" spans="1:5" s="80" customFormat="1" ht="31.5" x14ac:dyDescent="0.25">
      <c r="A221" s="74" t="s">
        <v>843</v>
      </c>
      <c r="B221" s="75" t="s">
        <v>493</v>
      </c>
      <c r="C221" s="75" t="s">
        <v>490</v>
      </c>
      <c r="D221" s="131">
        <v>1613</v>
      </c>
      <c r="E221" s="131">
        <v>1613</v>
      </c>
    </row>
    <row r="222" spans="1:5" s="80" customFormat="1" ht="31.5" x14ac:dyDescent="0.25">
      <c r="A222" s="78" t="s">
        <v>997</v>
      </c>
      <c r="B222" s="79" t="s">
        <v>1004</v>
      </c>
      <c r="C222" s="79" t="s">
        <v>9</v>
      </c>
      <c r="D222" s="132">
        <v>11700</v>
      </c>
      <c r="E222" s="132">
        <v>11700</v>
      </c>
    </row>
    <row r="223" spans="1:5" s="80" customFormat="1" ht="31.5" x14ac:dyDescent="0.25">
      <c r="A223" s="74" t="s">
        <v>843</v>
      </c>
      <c r="B223" s="75" t="s">
        <v>1004</v>
      </c>
      <c r="C223" s="75" t="s">
        <v>490</v>
      </c>
      <c r="D223" s="131">
        <v>11700</v>
      </c>
      <c r="E223" s="131">
        <v>11700</v>
      </c>
    </row>
    <row r="224" spans="1:5" s="80" customFormat="1" outlineLevel="1" x14ac:dyDescent="0.25">
      <c r="A224" s="78" t="s">
        <v>99</v>
      </c>
      <c r="B224" s="79" t="s">
        <v>458</v>
      </c>
      <c r="C224" s="79" t="s">
        <v>9</v>
      </c>
      <c r="D224" s="132">
        <v>75</v>
      </c>
      <c r="E224" s="132">
        <v>75</v>
      </c>
    </row>
    <row r="225" spans="1:5" s="80" customFormat="1" outlineLevel="1" x14ac:dyDescent="0.25">
      <c r="A225" s="74" t="s">
        <v>124</v>
      </c>
      <c r="B225" s="75" t="s">
        <v>458</v>
      </c>
      <c r="C225" s="75" t="s">
        <v>117</v>
      </c>
      <c r="D225" s="131">
        <v>75</v>
      </c>
      <c r="E225" s="131">
        <v>75</v>
      </c>
    </row>
    <row r="226" spans="1:5" s="77" customFormat="1" ht="31.5" outlineLevel="1" x14ac:dyDescent="0.25">
      <c r="A226" s="78" t="s">
        <v>94</v>
      </c>
      <c r="B226" s="79" t="s">
        <v>449</v>
      </c>
      <c r="C226" s="79" t="s">
        <v>9</v>
      </c>
      <c r="D226" s="132">
        <v>5</v>
      </c>
      <c r="E226" s="132">
        <v>5</v>
      </c>
    </row>
    <row r="227" spans="1:5" s="80" customFormat="1" outlineLevel="1" x14ac:dyDescent="0.25">
      <c r="A227" s="74" t="s">
        <v>124</v>
      </c>
      <c r="B227" s="75" t="s">
        <v>449</v>
      </c>
      <c r="C227" s="75" t="s">
        <v>117</v>
      </c>
      <c r="D227" s="131">
        <v>5</v>
      </c>
      <c r="E227" s="131">
        <v>5</v>
      </c>
    </row>
    <row r="228" spans="1:5" s="80" customFormat="1" x14ac:dyDescent="0.25">
      <c r="A228" s="78" t="s">
        <v>205</v>
      </c>
      <c r="B228" s="79" t="s">
        <v>450</v>
      </c>
      <c r="C228" s="79" t="s">
        <v>9</v>
      </c>
      <c r="D228" s="132">
        <v>47577.7</v>
      </c>
      <c r="E228" s="132">
        <v>47576.4</v>
      </c>
    </row>
    <row r="229" spans="1:5" s="80" customFormat="1" x14ac:dyDescent="0.25">
      <c r="A229" s="78" t="s">
        <v>200</v>
      </c>
      <c r="B229" s="79" t="s">
        <v>451</v>
      </c>
      <c r="C229" s="79" t="s">
        <v>9</v>
      </c>
      <c r="D229" s="132">
        <v>10038.199999999997</v>
      </c>
      <c r="E229" s="132">
        <v>10038.199999999997</v>
      </c>
    </row>
    <row r="230" spans="1:5" s="80" customFormat="1" ht="31.5" x14ac:dyDescent="0.25">
      <c r="A230" s="74" t="s">
        <v>843</v>
      </c>
      <c r="B230" s="75" t="s">
        <v>451</v>
      </c>
      <c r="C230" s="75" t="s">
        <v>490</v>
      </c>
      <c r="D230" s="131">
        <v>10038.199999999997</v>
      </c>
      <c r="E230" s="131">
        <v>10038.199999999997</v>
      </c>
    </row>
    <row r="231" spans="1:5" s="80" customFormat="1" x14ac:dyDescent="0.25">
      <c r="A231" s="78" t="s">
        <v>200</v>
      </c>
      <c r="B231" s="79" t="s">
        <v>660</v>
      </c>
      <c r="C231" s="79" t="s">
        <v>9</v>
      </c>
      <c r="D231" s="132">
        <v>27898.400000000001</v>
      </c>
      <c r="E231" s="132">
        <v>27898.400000000001</v>
      </c>
    </row>
    <row r="232" spans="1:5" s="80" customFormat="1" ht="31.5" x14ac:dyDescent="0.25">
      <c r="A232" s="74" t="s">
        <v>843</v>
      </c>
      <c r="B232" s="75" t="s">
        <v>660</v>
      </c>
      <c r="C232" s="75" t="s">
        <v>490</v>
      </c>
      <c r="D232" s="131">
        <v>27898.400000000001</v>
      </c>
      <c r="E232" s="131">
        <v>27898.400000000001</v>
      </c>
    </row>
    <row r="233" spans="1:5" s="80" customFormat="1" x14ac:dyDescent="0.25">
      <c r="A233" s="78" t="s">
        <v>201</v>
      </c>
      <c r="B233" s="79" t="s">
        <v>452</v>
      </c>
      <c r="C233" s="79" t="s">
        <v>9</v>
      </c>
      <c r="D233" s="132">
        <v>9641.1</v>
      </c>
      <c r="E233" s="132">
        <v>9639.8000000000011</v>
      </c>
    </row>
    <row r="234" spans="1:5" s="77" customFormat="1" ht="47.25" x14ac:dyDescent="0.25">
      <c r="A234" s="74" t="s">
        <v>115</v>
      </c>
      <c r="B234" s="75" t="s">
        <v>452</v>
      </c>
      <c r="C234" s="75" t="s">
        <v>113</v>
      </c>
      <c r="D234" s="131">
        <v>6749</v>
      </c>
      <c r="E234" s="131">
        <v>6749</v>
      </c>
    </row>
    <row r="235" spans="1:5" s="77" customFormat="1" x14ac:dyDescent="0.25">
      <c r="A235" s="74" t="s">
        <v>124</v>
      </c>
      <c r="B235" s="75" t="s">
        <v>452</v>
      </c>
      <c r="C235" s="75" t="s">
        <v>117</v>
      </c>
      <c r="D235" s="131">
        <v>2837.4</v>
      </c>
      <c r="E235" s="131">
        <v>2836.1</v>
      </c>
    </row>
    <row r="236" spans="1:5" s="77" customFormat="1" x14ac:dyDescent="0.25">
      <c r="A236" s="74" t="s">
        <v>116</v>
      </c>
      <c r="B236" s="75" t="s">
        <v>452</v>
      </c>
      <c r="C236" s="75" t="s">
        <v>114</v>
      </c>
      <c r="D236" s="131">
        <v>54.7</v>
      </c>
      <c r="E236" s="131">
        <v>54.7</v>
      </c>
    </row>
    <row r="237" spans="1:5" s="80" customFormat="1" ht="31.5" outlineLevel="1" x14ac:dyDescent="0.25">
      <c r="A237" s="78" t="s">
        <v>78</v>
      </c>
      <c r="B237" s="79" t="s">
        <v>434</v>
      </c>
      <c r="C237" s="79" t="s">
        <v>9</v>
      </c>
      <c r="D237" s="132">
        <v>10</v>
      </c>
      <c r="E237" s="132">
        <v>10</v>
      </c>
    </row>
    <row r="238" spans="1:5" s="80" customFormat="1" outlineLevel="1" x14ac:dyDescent="0.25">
      <c r="A238" s="74" t="s">
        <v>124</v>
      </c>
      <c r="B238" s="75" t="s">
        <v>434</v>
      </c>
      <c r="C238" s="75" t="s">
        <v>117</v>
      </c>
      <c r="D238" s="131">
        <v>10</v>
      </c>
      <c r="E238" s="131">
        <v>10</v>
      </c>
    </row>
    <row r="239" spans="1:5" s="80" customFormat="1" ht="31.5" outlineLevel="1" x14ac:dyDescent="0.25">
      <c r="A239" s="78" t="s">
        <v>502</v>
      </c>
      <c r="B239" s="79" t="s">
        <v>494</v>
      </c>
      <c r="C239" s="79" t="s">
        <v>9</v>
      </c>
      <c r="D239" s="132">
        <v>2.5</v>
      </c>
      <c r="E239" s="132">
        <v>2.5</v>
      </c>
    </row>
    <row r="240" spans="1:5" s="77" customFormat="1" outlineLevel="1" x14ac:dyDescent="0.25">
      <c r="A240" s="74" t="s">
        <v>124</v>
      </c>
      <c r="B240" s="75" t="s">
        <v>494</v>
      </c>
      <c r="C240" s="75" t="s">
        <v>117</v>
      </c>
      <c r="D240" s="131">
        <v>2.5</v>
      </c>
      <c r="E240" s="131">
        <v>2.5</v>
      </c>
    </row>
    <row r="241" spans="1:5" s="77" customFormat="1" x14ac:dyDescent="0.25">
      <c r="A241" s="78" t="s">
        <v>712</v>
      </c>
      <c r="B241" s="79" t="s">
        <v>711</v>
      </c>
      <c r="C241" s="79" t="s">
        <v>9</v>
      </c>
      <c r="D241" s="132">
        <v>2269.5875000000001</v>
      </c>
      <c r="E241" s="132">
        <v>2254.875</v>
      </c>
    </row>
    <row r="242" spans="1:5" s="77" customFormat="1" x14ac:dyDescent="0.25">
      <c r="A242" s="74" t="s">
        <v>125</v>
      </c>
      <c r="B242" s="75" t="s">
        <v>711</v>
      </c>
      <c r="C242" s="75" t="s">
        <v>118</v>
      </c>
      <c r="D242" s="131">
        <v>2269.5875000000001</v>
      </c>
      <c r="E242" s="131">
        <v>2254.875</v>
      </c>
    </row>
    <row r="243" spans="1:5" s="77" customFormat="1" x14ac:dyDescent="0.25">
      <c r="A243" s="78" t="s">
        <v>1058</v>
      </c>
      <c r="B243" s="79" t="s">
        <v>1061</v>
      </c>
      <c r="C243" s="79" t="s">
        <v>9</v>
      </c>
      <c r="D243" s="132">
        <v>128.9</v>
      </c>
      <c r="E243" s="132">
        <v>128.4</v>
      </c>
    </row>
    <row r="244" spans="1:5" s="77" customFormat="1" ht="31.5" x14ac:dyDescent="0.25">
      <c r="A244" s="74" t="s">
        <v>843</v>
      </c>
      <c r="B244" s="75" t="s">
        <v>1061</v>
      </c>
      <c r="C244" s="75" t="s">
        <v>117</v>
      </c>
      <c r="D244" s="131">
        <v>128.9</v>
      </c>
      <c r="E244" s="131">
        <v>128.4</v>
      </c>
    </row>
    <row r="245" spans="1:5" s="77" customFormat="1" x14ac:dyDescent="0.25">
      <c r="A245" s="78" t="s">
        <v>52</v>
      </c>
      <c r="B245" s="79" t="s">
        <v>394</v>
      </c>
      <c r="C245" s="79" t="s">
        <v>9</v>
      </c>
      <c r="D245" s="132">
        <v>21755.460000000003</v>
      </c>
      <c r="E245" s="132">
        <v>23200</v>
      </c>
    </row>
    <row r="246" spans="1:5" s="80" customFormat="1" ht="31.5" x14ac:dyDescent="0.25">
      <c r="A246" s="78" t="s">
        <v>41</v>
      </c>
      <c r="B246" s="79" t="s">
        <v>438</v>
      </c>
      <c r="C246" s="79" t="s">
        <v>9</v>
      </c>
      <c r="D246" s="132">
        <v>19870</v>
      </c>
      <c r="E246" s="132">
        <v>18961</v>
      </c>
    </row>
    <row r="247" spans="1:5" s="77" customFormat="1" ht="31.5" x14ac:dyDescent="0.25">
      <c r="A247" s="78" t="s">
        <v>212</v>
      </c>
      <c r="B247" s="79" t="s">
        <v>439</v>
      </c>
      <c r="C247" s="79" t="s">
        <v>9</v>
      </c>
      <c r="D247" s="132">
        <v>19870</v>
      </c>
      <c r="E247" s="132">
        <v>18961</v>
      </c>
    </row>
    <row r="248" spans="1:5" s="80" customFormat="1" x14ac:dyDescent="0.25">
      <c r="A248" s="74" t="s">
        <v>124</v>
      </c>
      <c r="B248" s="75" t="s">
        <v>439</v>
      </c>
      <c r="C248" s="75" t="s">
        <v>117</v>
      </c>
      <c r="D248" s="131">
        <v>19870</v>
      </c>
      <c r="E248" s="131">
        <v>18961</v>
      </c>
    </row>
    <row r="249" spans="1:5" s="77" customFormat="1" outlineLevel="1" x14ac:dyDescent="0.25">
      <c r="A249" s="268" t="s">
        <v>1089</v>
      </c>
      <c r="B249" s="79" t="s">
        <v>1126</v>
      </c>
      <c r="C249" s="79" t="s">
        <v>9</v>
      </c>
      <c r="D249" s="131">
        <v>164.4</v>
      </c>
      <c r="E249" s="131">
        <v>164.4</v>
      </c>
    </row>
    <row r="250" spans="1:5" s="77" customFormat="1" outlineLevel="1" x14ac:dyDescent="0.25">
      <c r="A250" s="84" t="s">
        <v>124</v>
      </c>
      <c r="B250" s="75" t="s">
        <v>1126</v>
      </c>
      <c r="C250" s="75" t="s">
        <v>117</v>
      </c>
      <c r="D250" s="131">
        <v>164.4</v>
      </c>
      <c r="E250" s="131">
        <v>164.4</v>
      </c>
    </row>
    <row r="251" spans="1:5" s="77" customFormat="1" ht="31.5" x14ac:dyDescent="0.25">
      <c r="A251" s="78" t="s">
        <v>53</v>
      </c>
      <c r="B251" s="79" t="s">
        <v>395</v>
      </c>
      <c r="C251" s="79" t="s">
        <v>9</v>
      </c>
      <c r="D251" s="132">
        <v>100</v>
      </c>
      <c r="E251" s="132">
        <v>100</v>
      </c>
    </row>
    <row r="252" spans="1:5" s="77" customFormat="1" x14ac:dyDescent="0.25">
      <c r="A252" s="74" t="s">
        <v>116</v>
      </c>
      <c r="B252" s="75" t="s">
        <v>395</v>
      </c>
      <c r="C252" s="75" t="s">
        <v>114</v>
      </c>
      <c r="D252" s="131">
        <v>100</v>
      </c>
      <c r="E252" s="131">
        <v>100</v>
      </c>
    </row>
    <row r="253" spans="1:5" s="80" customFormat="1" ht="31.5" collapsed="1" x14ac:dyDescent="0.25">
      <c r="A253" s="78" t="s">
        <v>212</v>
      </c>
      <c r="B253" s="79" t="s">
        <v>468</v>
      </c>
      <c r="C253" s="79" t="s">
        <v>9</v>
      </c>
      <c r="D253" s="132">
        <v>1046</v>
      </c>
      <c r="E253" s="132">
        <v>998</v>
      </c>
    </row>
    <row r="254" spans="1:5" s="77" customFormat="1" x14ac:dyDescent="0.25">
      <c r="A254" s="74" t="s">
        <v>124</v>
      </c>
      <c r="B254" s="75" t="s">
        <v>468</v>
      </c>
      <c r="C254" s="75" t="s">
        <v>117</v>
      </c>
      <c r="D254" s="131">
        <v>1046</v>
      </c>
      <c r="E254" s="131">
        <v>998</v>
      </c>
    </row>
    <row r="255" spans="1:5" s="80" customFormat="1" ht="31.5" x14ac:dyDescent="0.25">
      <c r="A255" s="78" t="s">
        <v>212</v>
      </c>
      <c r="B255" s="79" t="s">
        <v>976</v>
      </c>
      <c r="C255" s="79" t="s">
        <v>9</v>
      </c>
      <c r="D255" s="132">
        <v>575.05999999999995</v>
      </c>
      <c r="E255" s="132">
        <v>2976.6</v>
      </c>
    </row>
    <row r="256" spans="1:5" s="77" customFormat="1" x14ac:dyDescent="0.25">
      <c r="A256" s="74" t="s">
        <v>124</v>
      </c>
      <c r="B256" s="75" t="s">
        <v>976</v>
      </c>
      <c r="C256" s="75" t="s">
        <v>117</v>
      </c>
      <c r="D256" s="131">
        <v>458.46</v>
      </c>
      <c r="E256" s="131">
        <v>2853.5</v>
      </c>
    </row>
    <row r="257" spans="1:5" s="80" customFormat="1" x14ac:dyDescent="0.25">
      <c r="A257" s="74" t="s">
        <v>123</v>
      </c>
      <c r="B257" s="75" t="s">
        <v>976</v>
      </c>
      <c r="C257" s="75" t="s">
        <v>119</v>
      </c>
      <c r="D257" s="131">
        <v>116.6</v>
      </c>
      <c r="E257" s="131">
        <v>123.1</v>
      </c>
    </row>
    <row r="258" spans="1:5" s="80" customFormat="1" x14ac:dyDescent="0.25">
      <c r="A258" s="78" t="s">
        <v>103</v>
      </c>
      <c r="B258" s="79" t="s">
        <v>459</v>
      </c>
      <c r="C258" s="79" t="s">
        <v>9</v>
      </c>
      <c r="D258" s="132">
        <v>1797.9</v>
      </c>
      <c r="E258" s="132">
        <v>1797.9</v>
      </c>
    </row>
    <row r="259" spans="1:5" s="77" customFormat="1" x14ac:dyDescent="0.25">
      <c r="A259" s="78" t="s">
        <v>796</v>
      </c>
      <c r="B259" s="79" t="s">
        <v>791</v>
      </c>
      <c r="C259" s="79" t="s">
        <v>9</v>
      </c>
      <c r="D259" s="132">
        <v>1797.9</v>
      </c>
      <c r="E259" s="132">
        <v>1797.9</v>
      </c>
    </row>
    <row r="260" spans="1:5" x14ac:dyDescent="0.25">
      <c r="A260" s="78" t="s">
        <v>105</v>
      </c>
      <c r="B260" s="79" t="s">
        <v>795</v>
      </c>
      <c r="C260" s="79" t="s">
        <v>9</v>
      </c>
      <c r="D260" s="132">
        <v>401.6</v>
      </c>
      <c r="E260" s="132">
        <v>401.6</v>
      </c>
    </row>
    <row r="261" spans="1:5" ht="47.25" x14ac:dyDescent="0.25">
      <c r="A261" s="74" t="s">
        <v>115</v>
      </c>
      <c r="B261" s="75" t="s">
        <v>795</v>
      </c>
      <c r="C261" s="75" t="s">
        <v>113</v>
      </c>
      <c r="D261" s="131">
        <v>401.6</v>
      </c>
      <c r="E261" s="131">
        <v>401.6</v>
      </c>
    </row>
    <row r="262" spans="1:5" x14ac:dyDescent="0.25">
      <c r="A262" s="78" t="s">
        <v>109</v>
      </c>
      <c r="B262" s="79" t="s">
        <v>792</v>
      </c>
      <c r="C262" s="79" t="s">
        <v>9</v>
      </c>
      <c r="D262" s="132">
        <v>922.3</v>
      </c>
      <c r="E262" s="132">
        <v>922.3</v>
      </c>
    </row>
    <row r="263" spans="1:5" ht="47.25" x14ac:dyDescent="0.25">
      <c r="A263" s="74" t="s">
        <v>115</v>
      </c>
      <c r="B263" s="75" t="s">
        <v>792</v>
      </c>
      <c r="C263" s="75" t="s">
        <v>113</v>
      </c>
      <c r="D263" s="131">
        <v>922.3</v>
      </c>
      <c r="E263" s="131">
        <v>922.3</v>
      </c>
    </row>
    <row r="264" spans="1:5" x14ac:dyDescent="0.25">
      <c r="A264" s="78" t="s">
        <v>79</v>
      </c>
      <c r="B264" s="79" t="s">
        <v>794</v>
      </c>
      <c r="C264" s="79" t="s">
        <v>9</v>
      </c>
      <c r="D264" s="132">
        <v>5</v>
      </c>
      <c r="E264" s="132">
        <v>5</v>
      </c>
    </row>
    <row r="265" spans="1:5" x14ac:dyDescent="0.25">
      <c r="A265" s="74" t="s">
        <v>124</v>
      </c>
      <c r="B265" s="75" t="s">
        <v>794</v>
      </c>
      <c r="C265" s="75" t="s">
        <v>117</v>
      </c>
      <c r="D265" s="131">
        <v>5</v>
      </c>
      <c r="E265" s="131">
        <v>0</v>
      </c>
    </row>
    <row r="266" spans="1:5" x14ac:dyDescent="0.25">
      <c r="A266" s="78" t="s">
        <v>26</v>
      </c>
      <c r="B266" s="79" t="s">
        <v>793</v>
      </c>
      <c r="C266" s="79" t="s">
        <v>9</v>
      </c>
      <c r="D266" s="132">
        <v>469</v>
      </c>
      <c r="E266" s="132">
        <v>469</v>
      </c>
    </row>
    <row r="267" spans="1:5" ht="47.25" x14ac:dyDescent="0.25">
      <c r="A267" s="74" t="s">
        <v>115</v>
      </c>
      <c r="B267" s="75" t="s">
        <v>793</v>
      </c>
      <c r="C267" s="75" t="s">
        <v>113</v>
      </c>
      <c r="D267" s="131">
        <v>469</v>
      </c>
      <c r="E267" s="131">
        <v>469</v>
      </c>
    </row>
    <row r="268" spans="1:5" collapsed="1" x14ac:dyDescent="0.25"/>
    <row r="270" spans="1:5" x14ac:dyDescent="0.25">
      <c r="B270" s="716"/>
      <c r="C270" s="716"/>
      <c r="D270" s="717"/>
    </row>
  </sheetData>
  <autoFilter ref="A10:E463">
    <filterColumn colId="3">
      <filters blank="1">
        <filter val="0,1"/>
        <filter val="0,7"/>
        <filter val="1 046,0"/>
        <filter val="1 069,0"/>
        <filter val="1 100,0"/>
        <filter val="1 103,9"/>
        <filter val="1 157,0"/>
        <filter val="1 267,0"/>
        <filter val="1 413,3"/>
        <filter val="1 448,3"/>
        <filter val="1 479,3"/>
        <filter val="1 506,1"/>
        <filter val="1 613,0"/>
        <filter val="1 677,6"/>
        <filter val="1 682,7"/>
        <filter val="1 797,9"/>
        <filter val="1 826,5"/>
        <filter val="1 882,6"/>
        <filter val="1 908,0"/>
        <filter val="1 994,9"/>
        <filter val="1,3"/>
        <filter val="10 000,0"/>
        <filter val="10 038,2"/>
        <filter val="10 688,7"/>
        <filter val="10 945,3"/>
        <filter val="10,0"/>
        <filter val="100,0"/>
        <filter val="11 154,6"/>
        <filter val="11 700,0"/>
        <filter val="116,6"/>
        <filter val="12 302,3"/>
        <filter val="12 758,7"/>
        <filter val="12 967,9"/>
        <filter val="122,4"/>
        <filter val="128,9"/>
        <filter val="13 753,8"/>
        <filter val="135,9"/>
        <filter val="150,2"/>
        <filter val="151 716,0"/>
        <filter val="153 941,0"/>
        <filter val="164,4"/>
        <filter val="18 667,4"/>
        <filter val="18 753,8"/>
        <filter val="18 939,0"/>
        <filter val="181,0"/>
        <filter val="182 648,6"/>
        <filter val="185 099,0"/>
        <filter val="19 870,0"/>
        <filter val="2 000,0"/>
        <filter val="2 026,5"/>
        <filter val="2 054,7"/>
        <filter val="2 084,0"/>
        <filter val="2 107,8"/>
        <filter val="2 128,8"/>
        <filter val="2 144,7"/>
        <filter val="2 185,7"/>
        <filter val="2 225,0"/>
        <filter val="2 269,6"/>
        <filter val="2 300,0"/>
        <filter val="2 386,0"/>
        <filter val="2 711,7"/>
        <filter val="2 730,0"/>
        <filter val="2 817,8"/>
        <filter val="2 837,4"/>
        <filter val="2 892,2"/>
        <filter val="2 980,5"/>
        <filter val="2,5"/>
        <filter val="20 787,2"/>
        <filter val="21 755,5"/>
        <filter val="21,0"/>
        <filter val="21,7"/>
        <filter val="212 319,5"/>
        <filter val="214 464,2"/>
        <filter val="215 700,1"/>
        <filter val="22 003,4"/>
        <filter val="223,6"/>
        <filter val="23 459,0"/>
        <filter val="241,0"/>
        <filter val="25 000,0"/>
        <filter val="26 629,6"/>
        <filter val="268,2"/>
        <filter val="27 091,4"/>
        <filter val="27 223,6"/>
        <filter val="27 898,4"/>
        <filter val="271,7"/>
        <filter val="28,2"/>
        <filter val="287,2"/>
        <filter val="3 433,6"/>
        <filter val="3 484,2"/>
        <filter val="3 700,0"/>
        <filter val="3 726,8"/>
        <filter val="3,1"/>
        <filter val="30 608,7"/>
        <filter val="300,0"/>
        <filter val="303,1"/>
        <filter val="31 158,0"/>
        <filter val="31 746,0"/>
        <filter val="310,0"/>
        <filter val="379 316,7"/>
        <filter val="39 618,1"/>
        <filter val="39 859,1"/>
        <filter val="395,4"/>
        <filter val="4"/>
        <filter val="4 118,5"/>
        <filter val="4 352,5"/>
        <filter val="4 685,3"/>
        <filter val="401,6"/>
        <filter val="42 646,0"/>
        <filter val="424,8"/>
        <filter val="45 393,2"/>
        <filter val="458,5"/>
        <filter val="469,0"/>
        <filter val="47 577,7"/>
        <filter val="5 000,0"/>
        <filter val="5 459,0"/>
        <filter val="5 620,3"/>
        <filter val="5 644,1"/>
        <filter val="5 674,7"/>
        <filter val="5,0"/>
        <filter val="5,1"/>
        <filter val="54,4"/>
        <filter val="54,7"/>
        <filter val="549,3"/>
        <filter val="55 010,2"/>
        <filter val="57,5"/>
        <filter val="575,0"/>
        <filter val="575,1"/>
        <filter val="588,6"/>
        <filter val="59,8"/>
        <filter val="59,9"/>
        <filter val="592,0"/>
        <filter val="593,3"/>
        <filter val="6 139,1"/>
        <filter val="6 749,0"/>
        <filter val="6 778,6"/>
        <filter val="6,5"/>
        <filter val="62 245,8"/>
        <filter val="621,6"/>
        <filter val="673,4"/>
        <filter val="684,2"/>
        <filter val="69 737,4"/>
        <filter val="7 675,0"/>
        <filter val="7 801,8"/>
        <filter val="72,9"/>
        <filter val="746,3"/>
        <filter val="75,0"/>
        <filter val="787,5"/>
        <filter val="8 058,3"/>
        <filter val="8 742,7"/>
        <filter val="8 743,3"/>
        <filter val="8 831,7"/>
        <filter val="8,0"/>
        <filter val="8,3"/>
        <filter val="830,0"/>
        <filter val="838,3"/>
        <filter val="846 394,4"/>
        <filter val="86,0"/>
        <filter val="88,4"/>
        <filter val="89 023,3"/>
        <filter val="9 076,0"/>
        <filter val="9 257,0"/>
        <filter val="9 641,1"/>
        <filter val="90,9"/>
        <filter val="900,0"/>
        <filter val="902,4"/>
        <filter val="922,3"/>
        <filter val="96,8"/>
      </filters>
    </filterColumn>
  </autoFilter>
  <mergeCells count="7">
    <mergeCell ref="B270:D270"/>
    <mergeCell ref="A6:E6"/>
    <mergeCell ref="A7:E7"/>
    <mergeCell ref="A9:A10"/>
    <mergeCell ref="B9:C9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4"/>
  <sheetViews>
    <sheetView view="pageBreakPreview" zoomScale="85" zoomScaleNormal="100" zoomScaleSheetLayoutView="85" workbookViewId="0">
      <selection activeCell="I19" sqref="I19"/>
    </sheetView>
  </sheetViews>
  <sheetFormatPr defaultColWidth="9.140625" defaultRowHeight="18.75" x14ac:dyDescent="0.3"/>
  <cols>
    <col min="1" max="1" width="87.42578125" style="103" customWidth="1"/>
    <col min="2" max="2" width="23.7109375" style="103" customWidth="1"/>
    <col min="3" max="3" width="19" style="103" customWidth="1"/>
    <col min="4" max="16384" width="9.140625" style="103"/>
  </cols>
  <sheetData>
    <row r="1" spans="1:4" x14ac:dyDescent="0.3">
      <c r="B1" s="731" t="s">
        <v>1183</v>
      </c>
      <c r="C1" s="731"/>
    </row>
    <row r="2" spans="1:4" x14ac:dyDescent="0.3">
      <c r="B2" s="731" t="s">
        <v>1</v>
      </c>
      <c r="C2" s="731"/>
    </row>
    <row r="3" spans="1:4" x14ac:dyDescent="0.3">
      <c r="B3" s="731" t="s">
        <v>180</v>
      </c>
      <c r="C3" s="731"/>
    </row>
    <row r="4" spans="1:4" x14ac:dyDescent="0.3">
      <c r="B4" s="732" t="s">
        <v>1184</v>
      </c>
      <c r="C4" s="732"/>
      <c r="D4" s="105"/>
    </row>
    <row r="6" spans="1:4" x14ac:dyDescent="0.3">
      <c r="A6" s="733" t="s">
        <v>866</v>
      </c>
      <c r="B6" s="733"/>
      <c r="C6" s="733"/>
    </row>
    <row r="7" spans="1:4" ht="18.75" customHeight="1" x14ac:dyDescent="0.3">
      <c r="A7" s="780" t="s">
        <v>1185</v>
      </c>
      <c r="B7" s="780"/>
      <c r="C7" s="780"/>
    </row>
    <row r="8" spans="1:4" ht="18" x14ac:dyDescent="0.35">
      <c r="A8" s="431"/>
    </row>
    <row r="9" spans="1:4" x14ac:dyDescent="0.3">
      <c r="A9" s="431"/>
      <c r="C9" s="432" t="s">
        <v>880</v>
      </c>
    </row>
    <row r="10" spans="1:4" ht="18.75" customHeight="1" x14ac:dyDescent="0.3">
      <c r="A10" s="727" t="s">
        <v>867</v>
      </c>
      <c r="B10" s="779" t="s">
        <v>363</v>
      </c>
      <c r="C10" s="779"/>
    </row>
    <row r="11" spans="1:4" s="106" customFormat="1" x14ac:dyDescent="0.25">
      <c r="A11" s="728"/>
      <c r="B11" s="433" t="s">
        <v>933</v>
      </c>
      <c r="C11" s="433" t="s">
        <v>1120</v>
      </c>
    </row>
    <row r="12" spans="1:4" ht="37.5" x14ac:dyDescent="0.3">
      <c r="A12" s="208" t="s">
        <v>869</v>
      </c>
      <c r="B12" s="209">
        <f>B13+B19+B16+B20</f>
        <v>1000</v>
      </c>
      <c r="C12" s="209">
        <f>C13+C19+C16+C20</f>
        <v>1000</v>
      </c>
    </row>
    <row r="13" spans="1:4" ht="56.25" x14ac:dyDescent="0.3">
      <c r="A13" s="208" t="s">
        <v>870</v>
      </c>
      <c r="B13" s="209">
        <f>B14-B15</f>
        <v>0</v>
      </c>
      <c r="C13" s="209">
        <f>C14-C15</f>
        <v>4300</v>
      </c>
    </row>
    <row r="14" spans="1:4" ht="36" hidden="1" x14ac:dyDescent="0.35">
      <c r="A14" s="210" t="s">
        <v>871</v>
      </c>
      <c r="B14" s="136">
        <v>11246.5</v>
      </c>
      <c r="C14" s="136">
        <f>4300+9994.5</f>
        <v>14294.5</v>
      </c>
    </row>
    <row r="15" spans="1:4" ht="36" hidden="1" x14ac:dyDescent="0.35">
      <c r="A15" s="210" t="s">
        <v>872</v>
      </c>
      <c r="B15" s="136">
        <v>11246.5</v>
      </c>
      <c r="C15" s="136">
        <v>9994.5</v>
      </c>
    </row>
    <row r="16" spans="1:4" ht="78" customHeight="1" x14ac:dyDescent="0.3">
      <c r="A16" s="434" t="s">
        <v>779</v>
      </c>
      <c r="B16" s="136">
        <f>B17-B18</f>
        <v>0</v>
      </c>
      <c r="C16" s="136">
        <f>C17-C18</f>
        <v>-4300</v>
      </c>
    </row>
    <row r="17" spans="1:4" ht="56.25" hidden="1" customHeight="1" x14ac:dyDescent="0.35">
      <c r="A17" s="435" t="s">
        <v>873</v>
      </c>
      <c r="B17" s="136">
        <v>10000</v>
      </c>
      <c r="C17" s="136">
        <v>10000</v>
      </c>
    </row>
    <row r="18" spans="1:4" s="110" customFormat="1" ht="56.25" hidden="1" customHeight="1" x14ac:dyDescent="0.35">
      <c r="A18" s="435" t="s">
        <v>874</v>
      </c>
      <c r="B18" s="136">
        <v>10000</v>
      </c>
      <c r="C18" s="136">
        <f>10000+4300</f>
        <v>14300</v>
      </c>
      <c r="D18" s="436"/>
    </row>
    <row r="19" spans="1:4" s="110" customFormat="1" ht="56.25" x14ac:dyDescent="0.3">
      <c r="A19" s="208" t="s">
        <v>780</v>
      </c>
      <c r="B19" s="209">
        <v>1000</v>
      </c>
      <c r="C19" s="209">
        <v>1000</v>
      </c>
      <c r="D19" s="436"/>
    </row>
    <row r="20" spans="1:4" s="110" customFormat="1" ht="30.75" customHeight="1" x14ac:dyDescent="0.3">
      <c r="A20" s="208" t="s">
        <v>875</v>
      </c>
      <c r="B20" s="209">
        <f>B21</f>
        <v>0</v>
      </c>
      <c r="C20" s="209">
        <f>C21</f>
        <v>0</v>
      </c>
      <c r="D20" s="436"/>
    </row>
    <row r="21" spans="1:4" s="110" customFormat="1" x14ac:dyDescent="0.3">
      <c r="A21" s="208" t="s">
        <v>775</v>
      </c>
      <c r="B21" s="209"/>
      <c r="C21" s="209"/>
      <c r="D21" s="436"/>
    </row>
    <row r="22" spans="1:4" s="110" customFormat="1" ht="112.5" x14ac:dyDescent="0.3">
      <c r="A22" s="437" t="s">
        <v>876</v>
      </c>
      <c r="B22" s="136">
        <f>B23-B24</f>
        <v>0</v>
      </c>
      <c r="C22" s="136">
        <f>C23-C24</f>
        <v>0</v>
      </c>
      <c r="D22" s="436"/>
    </row>
    <row r="23" spans="1:4" s="110" customFormat="1" ht="54" hidden="1" x14ac:dyDescent="0.35">
      <c r="A23" s="210" t="s">
        <v>877</v>
      </c>
      <c r="B23" s="136">
        <v>2000</v>
      </c>
      <c r="C23" s="136">
        <v>2000</v>
      </c>
      <c r="D23" s="436"/>
    </row>
    <row r="24" spans="1:4" ht="54" hidden="1" x14ac:dyDescent="0.35">
      <c r="A24" s="210" t="s">
        <v>878</v>
      </c>
      <c r="B24" s="136">
        <v>2000</v>
      </c>
      <c r="C24" s="136">
        <v>2000</v>
      </c>
    </row>
  </sheetData>
  <mergeCells count="8">
    <mergeCell ref="A10:A11"/>
    <mergeCell ref="B10:C10"/>
    <mergeCell ref="B1:C1"/>
    <mergeCell ref="B2:C2"/>
    <mergeCell ref="B3:C3"/>
    <mergeCell ref="B4:C4"/>
    <mergeCell ref="A6:C6"/>
    <mergeCell ref="A7:C7"/>
  </mergeCells>
  <pageMargins left="0.7" right="0.7" top="0.75" bottom="0.75" header="0.3" footer="0.3"/>
  <pageSetup paperSize="9" scale="6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E13"/>
  <sheetViews>
    <sheetView view="pageBreakPreview" zoomScale="130" zoomScaleNormal="100" zoomScaleSheetLayoutView="130" workbookViewId="0">
      <selection activeCell="D12" sqref="D12"/>
    </sheetView>
  </sheetViews>
  <sheetFormatPr defaultColWidth="85.5703125" defaultRowHeight="15.75" x14ac:dyDescent="0.25"/>
  <cols>
    <col min="1" max="1" width="9.140625" style="259" customWidth="1"/>
    <col min="2" max="2" width="65.28515625" style="259" customWidth="1"/>
    <col min="3" max="3" width="20" style="259" hidden="1" customWidth="1"/>
    <col min="4" max="4" width="15.28515625" style="259" customWidth="1"/>
    <col min="5" max="5" width="15.42578125" style="259" customWidth="1"/>
    <col min="6" max="253" width="9.140625" style="259" customWidth="1"/>
    <col min="254" max="16384" width="85.5703125" style="259"/>
  </cols>
  <sheetData>
    <row r="1" spans="1:5" x14ac:dyDescent="0.25">
      <c r="D1" s="129"/>
      <c r="E1" s="129" t="s">
        <v>879</v>
      </c>
    </row>
    <row r="2" spans="1:5" ht="32.25" customHeight="1" x14ac:dyDescent="0.25">
      <c r="D2" s="781" t="s">
        <v>590</v>
      </c>
      <c r="E2" s="781"/>
    </row>
    <row r="3" spans="1:5" x14ac:dyDescent="0.25">
      <c r="D3" s="781" t="s">
        <v>1132</v>
      </c>
      <c r="E3" s="781"/>
    </row>
    <row r="4" spans="1:5" ht="15.6" x14ac:dyDescent="0.3">
      <c r="B4" s="8"/>
      <c r="C4" s="8"/>
    </row>
    <row r="5" spans="1:5" x14ac:dyDescent="0.25">
      <c r="A5" s="726" t="s">
        <v>181</v>
      </c>
      <c r="B5" s="726"/>
      <c r="C5" s="726"/>
      <c r="D5" s="726"/>
      <c r="E5" s="726"/>
    </row>
    <row r="6" spans="1:5" ht="50.25" customHeight="1" x14ac:dyDescent="0.25">
      <c r="A6" s="782" t="s">
        <v>1133</v>
      </c>
      <c r="B6" s="782"/>
      <c r="C6" s="782"/>
      <c r="D6" s="782"/>
      <c r="E6" s="782"/>
    </row>
    <row r="7" spans="1:5" ht="18.75" customHeight="1" x14ac:dyDescent="0.3">
      <c r="A7" s="101"/>
      <c r="B7" s="101"/>
      <c r="C7" s="101"/>
      <c r="D7" s="101"/>
      <c r="E7" s="101"/>
    </row>
    <row r="8" spans="1:5" ht="15.6" x14ac:dyDescent="0.3">
      <c r="B8" s="42"/>
      <c r="C8" s="42"/>
    </row>
    <row r="9" spans="1:5" x14ac:dyDescent="0.25">
      <c r="B9" s="42"/>
      <c r="C9" s="42"/>
      <c r="E9" s="186" t="s">
        <v>880</v>
      </c>
    </row>
    <row r="10" spans="1:5" x14ac:dyDescent="0.25">
      <c r="A10" s="185" t="s">
        <v>182</v>
      </c>
      <c r="B10" s="142" t="s">
        <v>135</v>
      </c>
      <c r="C10" s="141"/>
      <c r="D10" s="214" t="s">
        <v>933</v>
      </c>
      <c r="E10" s="214" t="s">
        <v>1120</v>
      </c>
    </row>
    <row r="11" spans="1:5" ht="63" x14ac:dyDescent="0.25">
      <c r="A11" s="49">
        <v>1</v>
      </c>
      <c r="B11" s="50" t="s">
        <v>932</v>
      </c>
      <c r="C11" s="51" t="e">
        <f>#REF!</f>
        <v>#REF!</v>
      </c>
      <c r="D11" s="137">
        <f>2107.8</f>
        <v>2107.8000000000002</v>
      </c>
      <c r="E11" s="137">
        <f>2107.8</f>
        <v>2107.8000000000002</v>
      </c>
    </row>
    <row r="12" spans="1:5" ht="78.75" x14ac:dyDescent="0.25">
      <c r="A12" s="49">
        <v>2</v>
      </c>
      <c r="B12" s="50" t="s">
        <v>96</v>
      </c>
      <c r="C12" s="51">
        <v>7550.6</v>
      </c>
      <c r="D12" s="137">
        <v>8117</v>
      </c>
      <c r="E12" s="137">
        <v>8117</v>
      </c>
    </row>
    <row r="13" spans="1:5" x14ac:dyDescent="0.25">
      <c r="A13" s="52"/>
      <c r="B13" s="53" t="s">
        <v>184</v>
      </c>
      <c r="C13" s="54" t="e">
        <f>SUM(C11:C12)</f>
        <v>#REF!</v>
      </c>
      <c r="D13" s="138">
        <f>SUM(D11:D12)</f>
        <v>10224.799999999999</v>
      </c>
      <c r="E13" s="138">
        <f>SUM(E11:E12)</f>
        <v>10224.799999999999</v>
      </c>
    </row>
  </sheetData>
  <mergeCells count="4">
    <mergeCell ref="D2:E2"/>
    <mergeCell ref="D3:E3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D91"/>
  <sheetViews>
    <sheetView view="pageBreakPreview" zoomScaleNormal="100" zoomScaleSheetLayoutView="100" workbookViewId="0">
      <selection activeCell="I17" sqref="I17"/>
    </sheetView>
  </sheetViews>
  <sheetFormatPr defaultColWidth="9.140625" defaultRowHeight="15.75" x14ac:dyDescent="0.25"/>
  <cols>
    <col min="1" max="1" width="51" style="55" customWidth="1"/>
    <col min="2" max="2" width="20.7109375" style="61" customWidth="1"/>
    <col min="3" max="3" width="17.85546875" style="62" customWidth="1"/>
    <col min="4" max="4" width="17.7109375" style="55" customWidth="1"/>
    <col min="5" max="16384" width="9.140625" style="55"/>
  </cols>
  <sheetData>
    <row r="1" spans="1:4" ht="20.100000000000001" customHeight="1" x14ac:dyDescent="0.25">
      <c r="B1" s="55"/>
      <c r="C1" s="55"/>
      <c r="D1" s="56" t="s">
        <v>1139</v>
      </c>
    </row>
    <row r="2" spans="1:4" s="44" customFormat="1" x14ac:dyDescent="0.25">
      <c r="A2" s="45"/>
      <c r="D2" s="57" t="s">
        <v>1</v>
      </c>
    </row>
    <row r="3" spans="1:4" s="44" customFormat="1" x14ac:dyDescent="0.25">
      <c r="A3" s="45"/>
      <c r="D3" s="57" t="s">
        <v>2</v>
      </c>
    </row>
    <row r="4" spans="1:4" s="44" customFormat="1" ht="15.75" customHeight="1" x14ac:dyDescent="0.25">
      <c r="A4" s="45"/>
      <c r="C4" s="796" t="s">
        <v>1137</v>
      </c>
      <c r="D4" s="796"/>
    </row>
    <row r="5" spans="1:4" s="44" customFormat="1" ht="15.6" x14ac:dyDescent="0.3">
      <c r="A5" s="45"/>
      <c r="B5" s="58"/>
    </row>
    <row r="6" spans="1:4" ht="20.100000000000001" customHeight="1" x14ac:dyDescent="0.2">
      <c r="A6" s="797" t="s">
        <v>199</v>
      </c>
      <c r="B6" s="797"/>
      <c r="C6" s="797"/>
      <c r="D6" s="797"/>
    </row>
    <row r="7" spans="1:4" ht="23.25" customHeight="1" x14ac:dyDescent="0.2">
      <c r="A7" s="797" t="s">
        <v>777</v>
      </c>
      <c r="B7" s="797"/>
      <c r="C7" s="797"/>
      <c r="D7" s="797"/>
    </row>
    <row r="8" spans="1:4" ht="18.75" x14ac:dyDescent="0.2">
      <c r="A8" s="797" t="s">
        <v>1134</v>
      </c>
      <c r="B8" s="797"/>
      <c r="C8" s="797"/>
      <c r="D8" s="797"/>
    </row>
    <row r="9" spans="1:4" ht="18.75" customHeight="1" x14ac:dyDescent="0.25">
      <c r="A9" s="177"/>
      <c r="B9" s="177"/>
      <c r="C9" s="177"/>
    </row>
    <row r="10" spans="1:4" ht="47.25" customHeight="1" x14ac:dyDescent="0.2">
      <c r="A10" s="790" t="s">
        <v>1135</v>
      </c>
      <c r="B10" s="790"/>
      <c r="C10" s="790"/>
      <c r="D10" s="790"/>
    </row>
    <row r="11" spans="1:4" ht="57.75" customHeight="1" x14ac:dyDescent="0.2">
      <c r="A11" s="789" t="s">
        <v>770</v>
      </c>
      <c r="B11" s="789" t="s">
        <v>771</v>
      </c>
      <c r="C11" s="789" t="s">
        <v>781</v>
      </c>
      <c r="D11" s="789"/>
    </row>
    <row r="12" spans="1:4" ht="71.25" customHeight="1" x14ac:dyDescent="0.2">
      <c r="A12" s="789"/>
      <c r="B12" s="789"/>
      <c r="C12" s="178" t="s">
        <v>935</v>
      </c>
      <c r="D12" s="178" t="s">
        <v>1136</v>
      </c>
    </row>
    <row r="13" spans="1:4" s="59" customFormat="1" ht="37.5" customHeight="1" x14ac:dyDescent="0.25">
      <c r="A13" s="179" t="s">
        <v>772</v>
      </c>
      <c r="B13" s="178" t="s">
        <v>778</v>
      </c>
      <c r="C13" s="180">
        <v>11246.5</v>
      </c>
      <c r="D13" s="180">
        <f>4300+9994.5-2994.5</f>
        <v>11300</v>
      </c>
    </row>
    <row r="14" spans="1:4" ht="86.25" x14ac:dyDescent="0.2">
      <c r="A14" s="181" t="s">
        <v>773</v>
      </c>
      <c r="B14" s="178" t="s">
        <v>774</v>
      </c>
      <c r="C14" s="178">
        <v>10000</v>
      </c>
      <c r="D14" s="178">
        <v>10000</v>
      </c>
    </row>
    <row r="15" spans="1:4" ht="17.25" x14ac:dyDescent="0.2">
      <c r="A15" s="182"/>
      <c r="B15" s="183"/>
      <c r="C15" s="183"/>
      <c r="D15" s="184"/>
    </row>
    <row r="16" spans="1:4" ht="43.5" customHeight="1" x14ac:dyDescent="0.2">
      <c r="A16" s="790" t="s">
        <v>934</v>
      </c>
      <c r="B16" s="790"/>
      <c r="C16" s="790"/>
      <c r="D16" s="790"/>
    </row>
    <row r="17" spans="1:4" ht="41.25" customHeight="1" x14ac:dyDescent="0.2">
      <c r="A17" s="791" t="s">
        <v>770</v>
      </c>
      <c r="B17" s="792"/>
      <c r="C17" s="795" t="s">
        <v>782</v>
      </c>
      <c r="D17" s="795"/>
    </row>
    <row r="18" spans="1:4" ht="17.25" x14ac:dyDescent="0.2">
      <c r="A18" s="793"/>
      <c r="B18" s="794"/>
      <c r="C18" s="178" t="s">
        <v>935</v>
      </c>
      <c r="D18" s="178" t="s">
        <v>1136</v>
      </c>
    </row>
    <row r="19" spans="1:4" ht="15" x14ac:dyDescent="0.2">
      <c r="A19" s="783">
        <v>1</v>
      </c>
      <c r="B19" s="784"/>
      <c r="C19" s="348">
        <v>2</v>
      </c>
      <c r="D19" s="348">
        <v>3</v>
      </c>
    </row>
    <row r="20" spans="1:4" ht="17.25" x14ac:dyDescent="0.2">
      <c r="A20" s="785" t="s">
        <v>772</v>
      </c>
      <c r="B20" s="786"/>
      <c r="C20" s="180">
        <v>11246.5</v>
      </c>
      <c r="D20" s="180">
        <f>9994.5-2994.5</f>
        <v>7000</v>
      </c>
    </row>
    <row r="21" spans="1:4" ht="17.25" customHeight="1" x14ac:dyDescent="0.2">
      <c r="A21" s="787" t="s">
        <v>776</v>
      </c>
      <c r="B21" s="788"/>
      <c r="C21" s="178">
        <v>10000</v>
      </c>
      <c r="D21" s="180">
        <v>14300</v>
      </c>
    </row>
    <row r="22" spans="1:4" x14ac:dyDescent="0.25">
      <c r="A22" s="60"/>
    </row>
    <row r="23" spans="1:4" x14ac:dyDescent="0.25">
      <c r="A23" s="60"/>
    </row>
    <row r="24" spans="1:4" x14ac:dyDescent="0.25">
      <c r="A24" s="60"/>
    </row>
    <row r="25" spans="1:4" x14ac:dyDescent="0.25">
      <c r="A25" s="60"/>
    </row>
    <row r="26" spans="1:4" x14ac:dyDescent="0.25">
      <c r="A26" s="60"/>
    </row>
    <row r="27" spans="1:4" x14ac:dyDescent="0.25">
      <c r="A27" s="60"/>
    </row>
    <row r="28" spans="1:4" x14ac:dyDescent="0.25">
      <c r="A28" s="60"/>
    </row>
    <row r="29" spans="1:4" x14ac:dyDescent="0.25">
      <c r="A29" s="60"/>
    </row>
    <row r="30" spans="1:4" x14ac:dyDescent="0.25">
      <c r="A30" s="60"/>
    </row>
    <row r="31" spans="1:4" x14ac:dyDescent="0.25">
      <c r="A31" s="60"/>
    </row>
    <row r="32" spans="1:4" x14ac:dyDescent="0.25">
      <c r="A32" s="60"/>
    </row>
    <row r="33" spans="1:3" x14ac:dyDescent="0.25">
      <c r="A33" s="60"/>
    </row>
    <row r="34" spans="1:3" x14ac:dyDescent="0.25">
      <c r="A34" s="60"/>
    </row>
    <row r="35" spans="1:3" x14ac:dyDescent="0.25">
      <c r="A35" s="60"/>
    </row>
    <row r="36" spans="1:3" x14ac:dyDescent="0.25">
      <c r="A36" s="60"/>
    </row>
    <row r="37" spans="1:3" x14ac:dyDescent="0.25">
      <c r="A37" s="60"/>
    </row>
    <row r="38" spans="1:3" x14ac:dyDescent="0.25">
      <c r="A38" s="60"/>
    </row>
    <row r="39" spans="1:3" ht="15" x14ac:dyDescent="0.2">
      <c r="A39" s="60"/>
      <c r="B39" s="55"/>
      <c r="C39" s="55"/>
    </row>
    <row r="40" spans="1:3" ht="15" x14ac:dyDescent="0.2">
      <c r="A40" s="60"/>
      <c r="B40" s="55"/>
      <c r="C40" s="55"/>
    </row>
    <row r="41" spans="1:3" ht="15" x14ac:dyDescent="0.2">
      <c r="A41" s="60"/>
      <c r="B41" s="55"/>
      <c r="C41" s="55"/>
    </row>
    <row r="42" spans="1:3" ht="15" x14ac:dyDescent="0.2">
      <c r="A42" s="60"/>
      <c r="B42" s="55"/>
      <c r="C42" s="55"/>
    </row>
    <row r="43" spans="1:3" ht="15" x14ac:dyDescent="0.2">
      <c r="A43" s="60"/>
      <c r="B43" s="55"/>
      <c r="C43" s="55"/>
    </row>
    <row r="44" spans="1:3" ht="15" x14ac:dyDescent="0.2">
      <c r="A44" s="60"/>
      <c r="B44" s="55"/>
      <c r="C44" s="55"/>
    </row>
    <row r="45" spans="1:3" ht="15" x14ac:dyDescent="0.2">
      <c r="A45" s="60"/>
      <c r="B45" s="55"/>
      <c r="C45" s="55"/>
    </row>
    <row r="46" spans="1:3" ht="15" x14ac:dyDescent="0.2">
      <c r="A46" s="60"/>
      <c r="B46" s="55"/>
      <c r="C46" s="55"/>
    </row>
    <row r="47" spans="1:3" ht="15" x14ac:dyDescent="0.2">
      <c r="A47" s="60"/>
      <c r="B47" s="55"/>
      <c r="C47" s="55"/>
    </row>
    <row r="48" spans="1:3" ht="15" x14ac:dyDescent="0.2">
      <c r="A48" s="60"/>
      <c r="B48" s="55"/>
      <c r="C48" s="55"/>
    </row>
    <row r="49" spans="1:3" ht="15" x14ac:dyDescent="0.2">
      <c r="A49" s="60"/>
      <c r="B49" s="55"/>
      <c r="C49" s="55"/>
    </row>
    <row r="50" spans="1:3" ht="15" x14ac:dyDescent="0.2">
      <c r="A50" s="60"/>
      <c r="B50" s="55"/>
      <c r="C50" s="55"/>
    </row>
    <row r="51" spans="1:3" ht="15" x14ac:dyDescent="0.2">
      <c r="A51" s="60"/>
      <c r="B51" s="55"/>
      <c r="C51" s="55"/>
    </row>
    <row r="52" spans="1:3" ht="15" x14ac:dyDescent="0.2">
      <c r="A52" s="60"/>
      <c r="B52" s="55"/>
      <c r="C52" s="55"/>
    </row>
    <row r="53" spans="1:3" ht="15" x14ac:dyDescent="0.2">
      <c r="A53" s="60"/>
      <c r="B53" s="55"/>
      <c r="C53" s="55"/>
    </row>
    <row r="54" spans="1:3" ht="15" x14ac:dyDescent="0.2">
      <c r="A54" s="60"/>
      <c r="B54" s="55"/>
      <c r="C54" s="55"/>
    </row>
    <row r="55" spans="1:3" ht="15" x14ac:dyDescent="0.2">
      <c r="A55" s="60"/>
      <c r="B55" s="55"/>
      <c r="C55" s="55"/>
    </row>
    <row r="56" spans="1:3" ht="15" x14ac:dyDescent="0.2">
      <c r="A56" s="60"/>
      <c r="B56" s="55"/>
      <c r="C56" s="55"/>
    </row>
    <row r="57" spans="1:3" ht="15" x14ac:dyDescent="0.2">
      <c r="A57" s="60"/>
      <c r="B57" s="55"/>
      <c r="C57" s="55"/>
    </row>
    <row r="58" spans="1:3" ht="15" x14ac:dyDescent="0.2">
      <c r="A58" s="60"/>
      <c r="B58" s="55"/>
      <c r="C58" s="55"/>
    </row>
    <row r="59" spans="1:3" ht="15" x14ac:dyDescent="0.2">
      <c r="A59" s="60"/>
      <c r="B59" s="55"/>
      <c r="C59" s="55"/>
    </row>
    <row r="60" spans="1:3" ht="15" x14ac:dyDescent="0.2">
      <c r="A60" s="60"/>
      <c r="B60" s="55"/>
      <c r="C60" s="55"/>
    </row>
    <row r="61" spans="1:3" ht="15" x14ac:dyDescent="0.2">
      <c r="A61" s="60"/>
      <c r="B61" s="55"/>
      <c r="C61" s="55"/>
    </row>
    <row r="62" spans="1:3" ht="15" x14ac:dyDescent="0.2">
      <c r="A62" s="60"/>
      <c r="B62" s="55"/>
      <c r="C62" s="55"/>
    </row>
    <row r="63" spans="1:3" ht="15" x14ac:dyDescent="0.2">
      <c r="A63" s="60"/>
      <c r="B63" s="55"/>
      <c r="C63" s="55"/>
    </row>
    <row r="64" spans="1:3" ht="15" x14ac:dyDescent="0.2">
      <c r="A64" s="60"/>
      <c r="B64" s="55"/>
      <c r="C64" s="55"/>
    </row>
    <row r="65" spans="1:3" ht="15" x14ac:dyDescent="0.2">
      <c r="A65" s="60"/>
      <c r="B65" s="55"/>
      <c r="C65" s="55"/>
    </row>
    <row r="66" spans="1:3" ht="15" x14ac:dyDescent="0.2">
      <c r="A66" s="60"/>
      <c r="B66" s="55"/>
      <c r="C66" s="55"/>
    </row>
    <row r="67" spans="1:3" ht="15" x14ac:dyDescent="0.2">
      <c r="A67" s="60"/>
      <c r="B67" s="55"/>
      <c r="C67" s="55"/>
    </row>
    <row r="68" spans="1:3" ht="15" x14ac:dyDescent="0.2">
      <c r="A68" s="60"/>
      <c r="B68" s="55"/>
      <c r="C68" s="55"/>
    </row>
    <row r="69" spans="1:3" ht="15" x14ac:dyDescent="0.2">
      <c r="A69" s="60"/>
      <c r="B69" s="55"/>
      <c r="C69" s="55"/>
    </row>
    <row r="70" spans="1:3" ht="15" x14ac:dyDescent="0.2">
      <c r="A70" s="60"/>
      <c r="B70" s="55"/>
      <c r="C70" s="55"/>
    </row>
    <row r="71" spans="1:3" ht="15" x14ac:dyDescent="0.2">
      <c r="A71" s="60"/>
      <c r="B71" s="55"/>
      <c r="C71" s="55"/>
    </row>
    <row r="72" spans="1:3" ht="15" x14ac:dyDescent="0.2">
      <c r="A72" s="60"/>
      <c r="B72" s="55"/>
      <c r="C72" s="55"/>
    </row>
    <row r="73" spans="1:3" ht="15" x14ac:dyDescent="0.2">
      <c r="A73" s="60"/>
      <c r="B73" s="55"/>
      <c r="C73" s="55"/>
    </row>
    <row r="74" spans="1:3" ht="15" x14ac:dyDescent="0.2">
      <c r="A74" s="60"/>
      <c r="B74" s="55"/>
      <c r="C74" s="55"/>
    </row>
    <row r="75" spans="1:3" ht="15" x14ac:dyDescent="0.2">
      <c r="A75" s="60"/>
      <c r="B75" s="55"/>
      <c r="C75" s="55"/>
    </row>
    <row r="76" spans="1:3" ht="15" x14ac:dyDescent="0.2">
      <c r="A76" s="60"/>
      <c r="B76" s="55"/>
      <c r="C76" s="55"/>
    </row>
    <row r="77" spans="1:3" ht="15" x14ac:dyDescent="0.2">
      <c r="A77" s="60"/>
      <c r="B77" s="55"/>
      <c r="C77" s="55"/>
    </row>
    <row r="78" spans="1:3" ht="15" x14ac:dyDescent="0.2">
      <c r="A78" s="60"/>
      <c r="B78" s="55"/>
      <c r="C78" s="55"/>
    </row>
    <row r="79" spans="1:3" ht="15" x14ac:dyDescent="0.2">
      <c r="A79" s="60"/>
      <c r="B79" s="55"/>
      <c r="C79" s="55"/>
    </row>
    <row r="80" spans="1:3" ht="15" x14ac:dyDescent="0.2">
      <c r="A80" s="60"/>
      <c r="B80" s="55"/>
      <c r="C80" s="55"/>
    </row>
    <row r="81" spans="1:3" ht="15" x14ac:dyDescent="0.2">
      <c r="A81" s="60"/>
      <c r="B81" s="55"/>
      <c r="C81" s="55"/>
    </row>
    <row r="82" spans="1:3" ht="15" x14ac:dyDescent="0.2">
      <c r="A82" s="60"/>
      <c r="B82" s="55"/>
      <c r="C82" s="55"/>
    </row>
    <row r="83" spans="1:3" ht="15" x14ac:dyDescent="0.2">
      <c r="A83" s="60"/>
      <c r="B83" s="55"/>
      <c r="C83" s="55"/>
    </row>
    <row r="84" spans="1:3" ht="15" x14ac:dyDescent="0.2">
      <c r="A84" s="60"/>
      <c r="B84" s="55"/>
      <c r="C84" s="55"/>
    </row>
    <row r="85" spans="1:3" ht="15" x14ac:dyDescent="0.2">
      <c r="A85" s="60"/>
      <c r="B85" s="55"/>
      <c r="C85" s="55"/>
    </row>
    <row r="86" spans="1:3" ht="15" x14ac:dyDescent="0.2">
      <c r="A86" s="60"/>
      <c r="B86" s="55"/>
      <c r="C86" s="55"/>
    </row>
    <row r="87" spans="1:3" ht="15" x14ac:dyDescent="0.2">
      <c r="A87" s="60"/>
      <c r="B87" s="55"/>
      <c r="C87" s="55"/>
    </row>
    <row r="88" spans="1:3" ht="15" x14ac:dyDescent="0.2">
      <c r="A88" s="60"/>
      <c r="B88" s="55"/>
      <c r="C88" s="55"/>
    </row>
    <row r="89" spans="1:3" ht="15" x14ac:dyDescent="0.2">
      <c r="A89" s="60"/>
      <c r="B89" s="55"/>
      <c r="C89" s="55"/>
    </row>
    <row r="90" spans="1:3" ht="15" x14ac:dyDescent="0.2">
      <c r="A90" s="60"/>
      <c r="B90" s="55"/>
      <c r="C90" s="55"/>
    </row>
    <row r="91" spans="1:3" ht="15" x14ac:dyDescent="0.2">
      <c r="A91" s="60"/>
      <c r="B91" s="55"/>
      <c r="C91" s="55"/>
    </row>
  </sheetData>
  <mergeCells count="14">
    <mergeCell ref="C11:D11"/>
    <mergeCell ref="A16:D16"/>
    <mergeCell ref="A17:B18"/>
    <mergeCell ref="C17:D17"/>
    <mergeCell ref="C4:D4"/>
    <mergeCell ref="A6:D6"/>
    <mergeCell ref="A7:D7"/>
    <mergeCell ref="A8:D8"/>
    <mergeCell ref="A10:D10"/>
    <mergeCell ref="A19:B19"/>
    <mergeCell ref="A20:B20"/>
    <mergeCell ref="A21:B21"/>
    <mergeCell ref="A11:A12"/>
    <mergeCell ref="B11:B12"/>
  </mergeCells>
  <pageMargins left="0.7" right="0.7" top="0.75" bottom="0.75" header="0.3" footer="0.3"/>
  <pageSetup paperSize="9" scale="8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0"/>
  <sheetViews>
    <sheetView view="pageBreakPreview" zoomScale="110" zoomScaleNormal="100" zoomScaleSheetLayoutView="110" workbookViewId="0">
      <selection activeCell="C21" sqref="C21"/>
    </sheetView>
  </sheetViews>
  <sheetFormatPr defaultColWidth="9.140625" defaultRowHeight="15.75" x14ac:dyDescent="0.25"/>
  <cols>
    <col min="1" max="1" width="8.140625" style="259" customWidth="1"/>
    <col min="2" max="2" width="39" style="259" customWidth="1"/>
    <col min="3" max="3" width="12.140625" style="259" customWidth="1"/>
    <col min="4" max="4" width="23.85546875" style="259" customWidth="1"/>
    <col min="5" max="5" width="16.42578125" style="259" hidden="1" customWidth="1"/>
    <col min="6" max="6" width="19.140625" style="259" hidden="1" customWidth="1"/>
    <col min="7" max="16384" width="9.140625" style="259"/>
  </cols>
  <sheetData>
    <row r="1" spans="1:6" x14ac:dyDescent="0.25">
      <c r="A1" s="546"/>
      <c r="B1" s="547"/>
      <c r="D1" s="548" t="s">
        <v>1211</v>
      </c>
    </row>
    <row r="2" spans="1:6" x14ac:dyDescent="0.25">
      <c r="A2" s="549"/>
      <c r="B2" s="547"/>
      <c r="C2" s="798" t="s">
        <v>589</v>
      </c>
      <c r="D2" s="798"/>
    </row>
    <row r="3" spans="1:6" x14ac:dyDescent="0.25">
      <c r="A3" s="549"/>
      <c r="B3" s="547"/>
      <c r="C3" s="798" t="s">
        <v>1221</v>
      </c>
      <c r="D3" s="798"/>
    </row>
    <row r="4" spans="1:6" ht="15.6" x14ac:dyDescent="0.3">
      <c r="A4" s="550"/>
      <c r="B4" s="47"/>
      <c r="C4" s="550"/>
      <c r="D4" s="550"/>
    </row>
    <row r="5" spans="1:6" x14ac:dyDescent="0.25">
      <c r="A5" s="799" t="s">
        <v>134</v>
      </c>
      <c r="B5" s="799"/>
      <c r="C5" s="799"/>
      <c r="D5" s="799"/>
    </row>
    <row r="6" spans="1:6" x14ac:dyDescent="0.25">
      <c r="A6" s="799" t="s">
        <v>1212</v>
      </c>
      <c r="B6" s="799"/>
      <c r="C6" s="799"/>
      <c r="D6" s="799"/>
    </row>
    <row r="7" spans="1:6" ht="15.6" x14ac:dyDescent="0.3">
      <c r="A7" s="550"/>
      <c r="B7" s="550"/>
      <c r="C7" s="550"/>
      <c r="D7" s="86"/>
    </row>
    <row r="8" spans="1:6" x14ac:dyDescent="0.25">
      <c r="A8" s="66" t="s">
        <v>182</v>
      </c>
      <c r="B8" s="740" t="s">
        <v>185</v>
      </c>
      <c r="C8" s="741"/>
      <c r="D8" s="9" t="s">
        <v>183</v>
      </c>
      <c r="E8" s="9">
        <v>2016</v>
      </c>
      <c r="F8" s="9">
        <v>2017</v>
      </c>
    </row>
    <row r="9" spans="1:6" ht="15.75" customHeight="1" x14ac:dyDescent="0.25">
      <c r="A9" s="67">
        <v>1</v>
      </c>
      <c r="B9" s="735" t="s">
        <v>187</v>
      </c>
      <c r="C9" s="736"/>
      <c r="D9" s="554">
        <v>20</v>
      </c>
      <c r="E9" s="551"/>
      <c r="F9" s="551"/>
    </row>
    <row r="10" spans="1:6" x14ac:dyDescent="0.25">
      <c r="A10" s="67">
        <v>2</v>
      </c>
      <c r="B10" s="735" t="s">
        <v>196</v>
      </c>
      <c r="C10" s="736"/>
      <c r="D10" s="554">
        <v>35.549999999999997</v>
      </c>
      <c r="E10" s="551"/>
      <c r="F10" s="551"/>
    </row>
    <row r="11" spans="1:6" x14ac:dyDescent="0.25">
      <c r="A11" s="67">
        <v>3</v>
      </c>
      <c r="B11" s="735" t="s">
        <v>188</v>
      </c>
      <c r="C11" s="736" t="s">
        <v>188</v>
      </c>
      <c r="D11" s="554">
        <v>121.1</v>
      </c>
      <c r="E11" s="551">
        <v>227.2</v>
      </c>
      <c r="F11" s="551">
        <v>159.4</v>
      </c>
    </row>
    <row r="12" spans="1:6" x14ac:dyDescent="0.25">
      <c r="A12" s="67">
        <v>4</v>
      </c>
      <c r="B12" s="735" t="s">
        <v>189</v>
      </c>
      <c r="C12" s="736" t="s">
        <v>189</v>
      </c>
      <c r="D12" s="554">
        <v>24.44</v>
      </c>
      <c r="E12" s="551">
        <v>766.6</v>
      </c>
      <c r="F12" s="551">
        <v>667.9</v>
      </c>
    </row>
    <row r="13" spans="1:6" x14ac:dyDescent="0.25">
      <c r="A13" s="67">
        <v>5</v>
      </c>
      <c r="B13" s="735" t="s">
        <v>190</v>
      </c>
      <c r="C13" s="736" t="s">
        <v>190</v>
      </c>
      <c r="D13" s="554">
        <v>31.11</v>
      </c>
      <c r="E13" s="551">
        <v>331.7</v>
      </c>
      <c r="F13" s="551">
        <v>220.5</v>
      </c>
    </row>
    <row r="14" spans="1:6" x14ac:dyDescent="0.25">
      <c r="A14" s="67">
        <v>6</v>
      </c>
      <c r="B14" s="735" t="s">
        <v>355</v>
      </c>
      <c r="C14" s="736" t="s">
        <v>355</v>
      </c>
      <c r="D14" s="554">
        <v>40</v>
      </c>
      <c r="E14" s="551"/>
      <c r="F14" s="551"/>
    </row>
    <row r="15" spans="1:6" x14ac:dyDescent="0.25">
      <c r="A15" s="67">
        <v>7</v>
      </c>
      <c r="B15" s="735" t="s">
        <v>191</v>
      </c>
      <c r="C15" s="736" t="s">
        <v>191</v>
      </c>
      <c r="D15" s="554">
        <v>132.21</v>
      </c>
      <c r="E15" s="551"/>
      <c r="F15" s="551"/>
    </row>
    <row r="16" spans="1:6" ht="15.75" customHeight="1" x14ac:dyDescent="0.25">
      <c r="A16" s="67">
        <v>8</v>
      </c>
      <c r="B16" s="735" t="s">
        <v>192</v>
      </c>
      <c r="C16" s="736" t="s">
        <v>192</v>
      </c>
      <c r="D16" s="554">
        <v>63.33</v>
      </c>
      <c r="E16" s="551"/>
      <c r="F16" s="551"/>
    </row>
    <row r="17" spans="1:6" ht="15.75" customHeight="1" x14ac:dyDescent="0.25">
      <c r="A17" s="67">
        <v>9</v>
      </c>
      <c r="B17" s="735" t="s">
        <v>197</v>
      </c>
      <c r="C17" s="736" t="s">
        <v>197</v>
      </c>
      <c r="D17" s="554">
        <v>41.11</v>
      </c>
      <c r="E17" s="551"/>
      <c r="F17" s="551"/>
    </row>
    <row r="18" spans="1:6" x14ac:dyDescent="0.25">
      <c r="A18" s="67">
        <v>10</v>
      </c>
      <c r="B18" s="735" t="s">
        <v>193</v>
      </c>
      <c r="C18" s="736" t="s">
        <v>193</v>
      </c>
      <c r="D18" s="554">
        <v>31.11</v>
      </c>
      <c r="E18" s="551"/>
      <c r="F18" s="551"/>
    </row>
    <row r="19" spans="1:6" x14ac:dyDescent="0.25">
      <c r="A19" s="67">
        <v>11</v>
      </c>
      <c r="B19" s="735" t="s">
        <v>194</v>
      </c>
      <c r="C19" s="736" t="s">
        <v>194</v>
      </c>
      <c r="D19" s="554">
        <v>52.22</v>
      </c>
      <c r="E19" s="551">
        <v>174.5</v>
      </c>
      <c r="F19" s="551">
        <v>108.7</v>
      </c>
    </row>
    <row r="20" spans="1:6" x14ac:dyDescent="0.25">
      <c r="A20" s="64"/>
      <c r="B20" s="737" t="s">
        <v>195</v>
      </c>
      <c r="C20" s="738"/>
      <c r="D20" s="140">
        <f>SUM(D9:D19)</f>
        <v>592.17999999999995</v>
      </c>
      <c r="E20" s="552" t="e">
        <f>#REF!+E9+E10+E11+E12+#REF!+#REF!+E13+#REF!+#REF!+E19</f>
        <v>#REF!</v>
      </c>
      <c r="F20" s="552" t="e">
        <f>#REF!+F9+F10+F11+F12+#REF!+#REF!+F13+#REF!+#REF!+F19</f>
        <v>#REF!</v>
      </c>
    </row>
  </sheetData>
  <mergeCells count="17">
    <mergeCell ref="B15:C15"/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IE919"/>
  <sheetViews>
    <sheetView view="pageBreakPreview" zoomScale="87" zoomScaleNormal="80" zoomScaleSheetLayoutView="87" workbookViewId="0">
      <pane xSplit="1" ySplit="11" topLeftCell="B12" activePane="bottomRight" state="frozen"/>
      <selection activeCell="D21" sqref="D21"/>
      <selection pane="topRight" activeCell="D21" sqref="D21"/>
      <selection pane="bottomLeft" activeCell="D21" sqref="D21"/>
      <selection pane="bottomRight" activeCell="S4" sqref="S4"/>
    </sheetView>
  </sheetViews>
  <sheetFormatPr defaultColWidth="9.140625" defaultRowHeight="15.75" x14ac:dyDescent="0.25"/>
  <cols>
    <col min="1" max="1" width="73.140625" style="227" customWidth="1"/>
    <col min="2" max="2" width="12.7109375" style="219" bestFit="1" customWidth="1"/>
    <col min="3" max="3" width="11.42578125" style="271" customWidth="1"/>
    <col min="4" max="4" width="13.5703125" style="219" customWidth="1"/>
    <col min="5" max="5" width="19.85546875" style="483" customWidth="1"/>
    <col min="6" max="6" width="11.85546875" style="219" customWidth="1"/>
    <col min="7" max="7" width="23" style="227" hidden="1" customWidth="1"/>
    <col min="8" max="8" width="18.7109375" style="484" hidden="1" customWidth="1"/>
    <col min="9" max="9" width="18.5703125" style="227" hidden="1" customWidth="1"/>
    <col min="10" max="10" width="18.7109375" style="484" hidden="1" customWidth="1"/>
    <col min="11" max="11" width="20.5703125" style="227" hidden="1" customWidth="1"/>
    <col min="12" max="12" width="20.140625" style="227" hidden="1" customWidth="1"/>
    <col min="13" max="13" width="18" style="555" hidden="1" customWidth="1"/>
    <col min="14" max="14" width="20.85546875" style="555" hidden="1" customWidth="1"/>
    <col min="15" max="15" width="19.140625" style="556" hidden="1" customWidth="1"/>
    <col min="16" max="16" width="17.7109375" style="556" hidden="1" customWidth="1"/>
    <col min="17" max="17" width="13.5703125" style="556" hidden="1" customWidth="1"/>
    <col min="18" max="18" width="14.7109375" style="556" hidden="1" customWidth="1"/>
    <col min="19" max="19" width="20.7109375" style="555" customWidth="1"/>
    <col min="20" max="20" width="20.7109375" style="70" hidden="1" customWidth="1"/>
    <col min="21" max="21" width="23.7109375" style="71" hidden="1" customWidth="1"/>
    <col min="22" max="22" width="19.42578125" style="8" customWidth="1"/>
    <col min="23" max="23" width="15.7109375" style="8" customWidth="1"/>
    <col min="24" max="24" width="15" style="8" customWidth="1"/>
    <col min="25" max="27" width="17.28515625" style="8" customWidth="1"/>
    <col min="28" max="35" width="17.85546875" style="8" customWidth="1"/>
    <col min="36" max="36" width="17.140625" style="8" customWidth="1"/>
    <col min="37" max="37" width="40" style="58" customWidth="1"/>
    <col min="38" max="41" width="9.140625" style="8" customWidth="1"/>
    <col min="42" max="16384" width="9.140625" style="8"/>
  </cols>
  <sheetData>
    <row r="1" spans="1:37" x14ac:dyDescent="0.25">
      <c r="S1" s="557" t="s">
        <v>222</v>
      </c>
      <c r="T1" s="8" t="s">
        <v>938</v>
      </c>
      <c r="U1" s="227">
        <f>G435+G50+G110+G184+G798+G817+G518+G393+G396+G413+G232+G75+G174+G788+G279+G383+G522+G526</f>
        <v>221633.73</v>
      </c>
      <c r="AK1" s="8"/>
    </row>
    <row r="2" spans="1:37" x14ac:dyDescent="0.25">
      <c r="S2" s="557" t="s">
        <v>587</v>
      </c>
      <c r="T2" s="8" t="s">
        <v>939</v>
      </c>
      <c r="U2" s="227">
        <f>G774+G112+G305+G307+G670+G671+G562+G571+G148+G827+G841+G724-103.1-1.65-281-38.2</f>
        <v>34371.310000000005</v>
      </c>
      <c r="AK2" s="8"/>
    </row>
    <row r="3" spans="1:37" x14ac:dyDescent="0.25">
      <c r="S3" s="557" t="s">
        <v>2</v>
      </c>
      <c r="T3" s="8" t="s">
        <v>856</v>
      </c>
      <c r="U3" s="227">
        <f>G114</f>
        <v>12967.9</v>
      </c>
      <c r="AK3" s="8"/>
    </row>
    <row r="4" spans="1:37" x14ac:dyDescent="0.25">
      <c r="S4" s="505" t="s">
        <v>1270</v>
      </c>
      <c r="T4" s="8" t="s">
        <v>940</v>
      </c>
      <c r="U4" s="8"/>
      <c r="AK4" s="8"/>
    </row>
    <row r="5" spans="1:37" ht="15.6" x14ac:dyDescent="0.3">
      <c r="C5" s="485"/>
      <c r="D5" s="501"/>
      <c r="F5" s="501"/>
      <c r="G5" s="284"/>
      <c r="I5" s="284"/>
      <c r="K5" s="284"/>
      <c r="L5" s="284"/>
      <c r="M5" s="558"/>
      <c r="N5" s="558"/>
      <c r="O5" s="559"/>
      <c r="P5" s="559"/>
      <c r="Q5" s="559"/>
      <c r="R5" s="559"/>
      <c r="T5" s="260">
        <v>903</v>
      </c>
      <c r="U5" s="227">
        <f>G19+G20+G31+G35+G40+G36+G32+G33+G38+G57+G62+G61+G63+G58+G59+G123+G128+G124+G134+G129+G125+G150+G159+G155+G156+G160+103.1</f>
        <v>103.1</v>
      </c>
      <c r="AK5" s="8"/>
    </row>
    <row r="6" spans="1:37" ht="15.6" x14ac:dyDescent="0.3">
      <c r="C6" s="485"/>
      <c r="D6" s="501"/>
      <c r="F6" s="501"/>
      <c r="G6" s="284"/>
      <c r="I6" s="284"/>
      <c r="K6" s="284"/>
      <c r="L6" s="284"/>
      <c r="M6" s="558"/>
      <c r="N6" s="558"/>
      <c r="O6" s="559"/>
      <c r="P6" s="559"/>
      <c r="Q6" s="559"/>
      <c r="R6" s="559"/>
      <c r="T6" s="260">
        <v>912</v>
      </c>
      <c r="U6" s="227">
        <f>G215+G211+G220+G226+G273+G281+G297+G299</f>
        <v>234</v>
      </c>
      <c r="AK6" s="8"/>
    </row>
    <row r="7" spans="1:37" x14ac:dyDescent="0.25">
      <c r="A7" s="682" t="s">
        <v>492</v>
      </c>
      <c r="B7" s="682"/>
      <c r="C7" s="682"/>
      <c r="D7" s="682"/>
      <c r="E7" s="682"/>
      <c r="F7" s="682"/>
      <c r="G7" s="682"/>
      <c r="H7" s="683"/>
      <c r="I7" s="684"/>
      <c r="J7" s="685"/>
      <c r="K7" s="684"/>
      <c r="L7" s="684"/>
      <c r="M7" s="684"/>
      <c r="N7" s="686"/>
      <c r="O7" s="684"/>
      <c r="P7" s="684"/>
      <c r="Q7" s="684"/>
      <c r="R7" s="684"/>
      <c r="S7" s="687"/>
      <c r="T7" s="260">
        <v>919</v>
      </c>
      <c r="U7" s="227">
        <f>G317+G320+G330+G331+G333+G343+G350</f>
        <v>0</v>
      </c>
      <c r="AK7" s="8"/>
    </row>
    <row r="8" spans="1:37" x14ac:dyDescent="0.25">
      <c r="A8" s="688" t="s">
        <v>1070</v>
      </c>
      <c r="B8" s="688"/>
      <c r="C8" s="688"/>
      <c r="D8" s="688"/>
      <c r="E8" s="688"/>
      <c r="F8" s="688"/>
      <c r="G8" s="688"/>
      <c r="H8" s="689"/>
      <c r="I8" s="690"/>
      <c r="J8" s="691"/>
      <c r="K8" s="690"/>
      <c r="L8" s="690"/>
      <c r="M8" s="690"/>
      <c r="N8" s="692"/>
      <c r="O8" s="690"/>
      <c r="P8" s="690"/>
      <c r="Q8" s="690"/>
      <c r="R8" s="690"/>
      <c r="S8" s="693"/>
      <c r="T8" s="260">
        <v>936</v>
      </c>
      <c r="U8" s="227">
        <f>G378+G400+G403+G440+G443+G445+G447+G448+G449+G453+G455+G457+G458+G461+G469+G471+G477+G480+G497+G536+G583+G584+G653+G731+G733+G750+G756+G759+G761+G763+G764+G767+G779+G780+G852+G861+G863+G581+G673+G726+1.65+281+38.2</f>
        <v>1471.1950000000002</v>
      </c>
      <c r="AK8" s="8"/>
    </row>
    <row r="9" spans="1:37" ht="15.6" x14ac:dyDescent="0.3">
      <c r="A9" s="281"/>
      <c r="B9" s="498"/>
      <c r="C9" s="486"/>
      <c r="D9" s="498"/>
      <c r="E9" s="489"/>
      <c r="F9" s="498"/>
      <c r="G9" s="281"/>
      <c r="H9" s="286"/>
      <c r="I9" s="281"/>
      <c r="J9" s="286"/>
      <c r="K9" s="281"/>
      <c r="L9" s="281"/>
      <c r="M9" s="560"/>
      <c r="N9" s="560"/>
      <c r="O9" s="561"/>
      <c r="P9" s="561"/>
      <c r="Q9" s="561"/>
      <c r="R9" s="561"/>
      <c r="S9" s="560"/>
      <c r="T9" s="262">
        <v>943</v>
      </c>
      <c r="U9" s="227">
        <f>G884</f>
        <v>0</v>
      </c>
      <c r="AK9" s="8"/>
    </row>
    <row r="10" spans="1:37" s="73" customFormat="1" x14ac:dyDescent="0.25">
      <c r="A10" s="694" t="s">
        <v>3</v>
      </c>
      <c r="B10" s="694" t="s">
        <v>4</v>
      </c>
      <c r="C10" s="694"/>
      <c r="D10" s="694"/>
      <c r="E10" s="694"/>
      <c r="F10" s="694"/>
      <c r="G10" s="680" t="s">
        <v>943</v>
      </c>
      <c r="H10" s="681"/>
      <c r="I10" s="680" t="s">
        <v>1153</v>
      </c>
      <c r="J10" s="697"/>
      <c r="K10" s="681"/>
      <c r="L10" s="698" t="s">
        <v>1188</v>
      </c>
      <c r="M10" s="562" t="s">
        <v>1213</v>
      </c>
      <c r="N10" s="562" t="s">
        <v>1244</v>
      </c>
      <c r="O10" s="563"/>
      <c r="P10" s="563"/>
      <c r="Q10" s="563"/>
      <c r="R10" s="563"/>
      <c r="S10" s="696" t="s">
        <v>941</v>
      </c>
      <c r="T10" s="262">
        <v>947</v>
      </c>
      <c r="U10" s="263">
        <f>G895+G898+G904</f>
        <v>0</v>
      </c>
    </row>
    <row r="11" spans="1:37" s="73" customFormat="1" ht="31.5" x14ac:dyDescent="0.25">
      <c r="A11" s="695"/>
      <c r="B11" s="169" t="s">
        <v>6</v>
      </c>
      <c r="C11" s="487" t="s">
        <v>203</v>
      </c>
      <c r="D11" s="169" t="s">
        <v>204</v>
      </c>
      <c r="E11" s="481" t="s">
        <v>7</v>
      </c>
      <c r="F11" s="169" t="s">
        <v>942</v>
      </c>
      <c r="G11" s="481" t="s">
        <v>1068</v>
      </c>
      <c r="H11" s="481" t="s">
        <v>1069</v>
      </c>
      <c r="I11" s="481" t="s">
        <v>1155</v>
      </c>
      <c r="J11" s="481" t="s">
        <v>1154</v>
      </c>
      <c r="K11" s="481" t="s">
        <v>1161</v>
      </c>
      <c r="L11" s="699"/>
      <c r="M11" s="564"/>
      <c r="N11" s="656"/>
      <c r="O11" s="565"/>
      <c r="P11" s="565"/>
      <c r="Q11" s="565"/>
      <c r="R11" s="565"/>
      <c r="S11" s="696"/>
    </row>
    <row r="12" spans="1:37" s="77" customFormat="1" x14ac:dyDescent="0.25">
      <c r="A12" s="264" t="s">
        <v>8</v>
      </c>
      <c r="B12" s="380" t="s">
        <v>9</v>
      </c>
      <c r="C12" s="488" t="s">
        <v>10</v>
      </c>
      <c r="D12" s="380" t="s">
        <v>10</v>
      </c>
      <c r="E12" s="265" t="s">
        <v>365</v>
      </c>
      <c r="F12" s="380" t="s">
        <v>9</v>
      </c>
      <c r="G12" s="282">
        <f t="shared" ref="G12:R12" si="0">G13+G205+G311+G372+G889+G878</f>
        <v>405169.11259999999</v>
      </c>
      <c r="H12" s="282">
        <f t="shared" si="0"/>
        <v>373474.22739999992</v>
      </c>
      <c r="I12" s="282">
        <f t="shared" si="0"/>
        <v>1.0999999999967258E-2</v>
      </c>
      <c r="J12" s="282">
        <f t="shared" si="0"/>
        <v>7738.1050000000014</v>
      </c>
      <c r="K12" s="282">
        <f t="shared" si="0"/>
        <v>68677.378999999986</v>
      </c>
      <c r="L12" s="282">
        <f t="shared" si="0"/>
        <v>4542.6499999999996</v>
      </c>
      <c r="M12" s="566">
        <f t="shared" si="0"/>
        <v>19167.38</v>
      </c>
      <c r="N12" s="566">
        <f t="shared" si="0"/>
        <v>4404.985999999999</v>
      </c>
      <c r="O12" s="567">
        <f t="shared" si="0"/>
        <v>0</v>
      </c>
      <c r="P12" s="567">
        <f t="shared" si="0"/>
        <v>0</v>
      </c>
      <c r="Q12" s="567">
        <f t="shared" si="0"/>
        <v>0</v>
      </c>
      <c r="R12" s="567">
        <f t="shared" si="0"/>
        <v>0</v>
      </c>
      <c r="S12" s="131">
        <f t="shared" ref="S12:S80" si="1">G12+H12+I12+J12+K12+L12+M12+N12+O12+P12+Q12+R12</f>
        <v>883173.85099999991</v>
      </c>
    </row>
    <row r="13" spans="1:37" s="77" customFormat="1" ht="31.5" x14ac:dyDescent="0.25">
      <c r="A13" s="264" t="s">
        <v>1037</v>
      </c>
      <c r="B13" s="380" t="s">
        <v>22</v>
      </c>
      <c r="C13" s="488" t="s">
        <v>10</v>
      </c>
      <c r="D13" s="380" t="s">
        <v>10</v>
      </c>
      <c r="E13" s="265" t="s">
        <v>365</v>
      </c>
      <c r="F13" s="380" t="s">
        <v>9</v>
      </c>
      <c r="G13" s="282">
        <f t="shared" ref="G13:R13" si="2">G14+G26+G169+G190+G21</f>
        <v>232941.37799999997</v>
      </c>
      <c r="H13" s="282">
        <f t="shared" si="2"/>
        <v>165515.70199999999</v>
      </c>
      <c r="I13" s="282">
        <f t="shared" si="2"/>
        <v>750</v>
      </c>
      <c r="J13" s="282">
        <f t="shared" si="2"/>
        <v>730</v>
      </c>
      <c r="K13" s="282">
        <f t="shared" si="2"/>
        <v>35876.589999999997</v>
      </c>
      <c r="L13" s="282">
        <f t="shared" si="2"/>
        <v>482.1</v>
      </c>
      <c r="M13" s="566">
        <f t="shared" si="2"/>
        <v>324.10000000000002</v>
      </c>
      <c r="N13" s="566">
        <f t="shared" si="2"/>
        <v>1103.5079999999998</v>
      </c>
      <c r="O13" s="131">
        <f t="shared" si="2"/>
        <v>0</v>
      </c>
      <c r="P13" s="131">
        <f t="shared" si="2"/>
        <v>0</v>
      </c>
      <c r="Q13" s="131">
        <f t="shared" si="2"/>
        <v>0</v>
      </c>
      <c r="R13" s="131">
        <f t="shared" si="2"/>
        <v>0</v>
      </c>
      <c r="S13" s="131">
        <f t="shared" si="1"/>
        <v>437723.37799999985</v>
      </c>
    </row>
    <row r="14" spans="1:37" s="77" customFormat="1" x14ac:dyDescent="0.25">
      <c r="A14" s="264" t="s">
        <v>23</v>
      </c>
      <c r="B14" s="380" t="s">
        <v>22</v>
      </c>
      <c r="C14" s="488" t="s">
        <v>14</v>
      </c>
      <c r="D14" s="380" t="s">
        <v>10</v>
      </c>
      <c r="E14" s="265" t="s">
        <v>365</v>
      </c>
      <c r="F14" s="380" t="s">
        <v>9</v>
      </c>
      <c r="G14" s="282">
        <f t="shared" ref="G14:R17" si="3">G15</f>
        <v>0</v>
      </c>
      <c r="H14" s="282">
        <f t="shared" si="3"/>
        <v>1682.6999999999998</v>
      </c>
      <c r="I14" s="282">
        <f t="shared" si="3"/>
        <v>0</v>
      </c>
      <c r="J14" s="282">
        <f t="shared" si="3"/>
        <v>0</v>
      </c>
      <c r="K14" s="282">
        <f t="shared" si="3"/>
        <v>0</v>
      </c>
      <c r="L14" s="282">
        <f t="shared" si="3"/>
        <v>0</v>
      </c>
      <c r="M14" s="566">
        <f t="shared" si="3"/>
        <v>0</v>
      </c>
      <c r="N14" s="566">
        <f t="shared" si="3"/>
        <v>0</v>
      </c>
      <c r="O14" s="567">
        <f t="shared" si="3"/>
        <v>0</v>
      </c>
      <c r="P14" s="567">
        <f t="shared" si="3"/>
        <v>0</v>
      </c>
      <c r="Q14" s="567">
        <f t="shared" si="3"/>
        <v>0</v>
      </c>
      <c r="R14" s="567">
        <f t="shared" si="3"/>
        <v>0</v>
      </c>
      <c r="S14" s="131">
        <f t="shared" si="1"/>
        <v>1682.6999999999998</v>
      </c>
    </row>
    <row r="15" spans="1:37" s="80" customFormat="1" ht="47.25" x14ac:dyDescent="0.25">
      <c r="A15" s="267" t="s">
        <v>24</v>
      </c>
      <c r="B15" s="497" t="s">
        <v>22</v>
      </c>
      <c r="C15" s="496" t="s">
        <v>14</v>
      </c>
      <c r="D15" s="497" t="s">
        <v>25</v>
      </c>
      <c r="E15" s="285" t="s">
        <v>365</v>
      </c>
      <c r="F15" s="497" t="s">
        <v>9</v>
      </c>
      <c r="G15" s="283">
        <f t="shared" si="3"/>
        <v>0</v>
      </c>
      <c r="H15" s="283">
        <f t="shared" si="3"/>
        <v>1682.6999999999998</v>
      </c>
      <c r="I15" s="283">
        <f t="shared" si="3"/>
        <v>0</v>
      </c>
      <c r="J15" s="283">
        <f t="shared" si="3"/>
        <v>0</v>
      </c>
      <c r="K15" s="283">
        <f t="shared" si="3"/>
        <v>0</v>
      </c>
      <c r="L15" s="283">
        <f t="shared" si="3"/>
        <v>0</v>
      </c>
      <c r="M15" s="568">
        <f t="shared" si="3"/>
        <v>0</v>
      </c>
      <c r="N15" s="568">
        <f t="shared" si="3"/>
        <v>0</v>
      </c>
      <c r="O15" s="569">
        <f t="shared" si="3"/>
        <v>0</v>
      </c>
      <c r="P15" s="569">
        <f t="shared" si="3"/>
        <v>0</v>
      </c>
      <c r="Q15" s="569">
        <f t="shared" si="3"/>
        <v>0</v>
      </c>
      <c r="R15" s="569">
        <f t="shared" si="3"/>
        <v>0</v>
      </c>
      <c r="S15" s="132">
        <f t="shared" si="1"/>
        <v>1682.6999999999998</v>
      </c>
    </row>
    <row r="16" spans="1:37" s="80" customFormat="1" ht="31.5" x14ac:dyDescent="0.25">
      <c r="A16" s="267" t="s">
        <v>783</v>
      </c>
      <c r="B16" s="497" t="s">
        <v>22</v>
      </c>
      <c r="C16" s="496" t="s">
        <v>14</v>
      </c>
      <c r="D16" s="497" t="s">
        <v>25</v>
      </c>
      <c r="E16" s="285" t="s">
        <v>366</v>
      </c>
      <c r="F16" s="497" t="s">
        <v>9</v>
      </c>
      <c r="G16" s="283">
        <f t="shared" si="3"/>
        <v>0</v>
      </c>
      <c r="H16" s="283">
        <f t="shared" si="3"/>
        <v>1682.6999999999998</v>
      </c>
      <c r="I16" s="283">
        <f t="shared" si="3"/>
        <v>0</v>
      </c>
      <c r="J16" s="283">
        <f t="shared" si="3"/>
        <v>0</v>
      </c>
      <c r="K16" s="283">
        <f t="shared" si="3"/>
        <v>0</v>
      </c>
      <c r="L16" s="283">
        <f t="shared" si="3"/>
        <v>0</v>
      </c>
      <c r="M16" s="568">
        <f t="shared" si="3"/>
        <v>0</v>
      </c>
      <c r="N16" s="568">
        <f t="shared" si="3"/>
        <v>0</v>
      </c>
      <c r="O16" s="569">
        <f t="shared" si="3"/>
        <v>0</v>
      </c>
      <c r="P16" s="569">
        <f t="shared" si="3"/>
        <v>0</v>
      </c>
      <c r="Q16" s="569">
        <f t="shared" si="3"/>
        <v>0</v>
      </c>
      <c r="R16" s="569">
        <f t="shared" si="3"/>
        <v>0</v>
      </c>
      <c r="S16" s="132">
        <f t="shared" si="1"/>
        <v>1682.6999999999998</v>
      </c>
    </row>
    <row r="17" spans="1:229" s="80" customFormat="1" ht="31.5" x14ac:dyDescent="0.25">
      <c r="A17" s="267" t="s">
        <v>564</v>
      </c>
      <c r="B17" s="497" t="s">
        <v>22</v>
      </c>
      <c r="C17" s="496" t="s">
        <v>14</v>
      </c>
      <c r="D17" s="497" t="s">
        <v>25</v>
      </c>
      <c r="E17" s="285" t="s">
        <v>367</v>
      </c>
      <c r="F17" s="497" t="s">
        <v>9</v>
      </c>
      <c r="G17" s="283">
        <f t="shared" si="3"/>
        <v>0</v>
      </c>
      <c r="H17" s="283">
        <f t="shared" si="3"/>
        <v>1682.6999999999998</v>
      </c>
      <c r="I17" s="283">
        <f t="shared" si="3"/>
        <v>0</v>
      </c>
      <c r="J17" s="283">
        <f t="shared" si="3"/>
        <v>0</v>
      </c>
      <c r="K17" s="283">
        <f t="shared" si="3"/>
        <v>0</v>
      </c>
      <c r="L17" s="283">
        <f t="shared" si="3"/>
        <v>0</v>
      </c>
      <c r="M17" s="568">
        <f t="shared" si="3"/>
        <v>0</v>
      </c>
      <c r="N17" s="568">
        <f t="shared" si="3"/>
        <v>0</v>
      </c>
      <c r="O17" s="569">
        <f t="shared" si="3"/>
        <v>0</v>
      </c>
      <c r="P17" s="569">
        <f t="shared" si="3"/>
        <v>0</v>
      </c>
      <c r="Q17" s="569">
        <f t="shared" si="3"/>
        <v>0</v>
      </c>
      <c r="R17" s="569">
        <f t="shared" si="3"/>
        <v>0</v>
      </c>
      <c r="S17" s="132">
        <f t="shared" si="1"/>
        <v>1682.6999999999998</v>
      </c>
    </row>
    <row r="18" spans="1:229" s="80" customFormat="1" x14ac:dyDescent="0.25">
      <c r="A18" s="267" t="s">
        <v>26</v>
      </c>
      <c r="B18" s="497" t="s">
        <v>22</v>
      </c>
      <c r="C18" s="496" t="s">
        <v>14</v>
      </c>
      <c r="D18" s="497" t="s">
        <v>25</v>
      </c>
      <c r="E18" s="285" t="s">
        <v>368</v>
      </c>
      <c r="F18" s="497" t="s">
        <v>9</v>
      </c>
      <c r="G18" s="283">
        <f t="shared" ref="G18:R18" si="4">G19+G20</f>
        <v>0</v>
      </c>
      <c r="H18" s="283">
        <f t="shared" si="4"/>
        <v>1682.6999999999998</v>
      </c>
      <c r="I18" s="283">
        <f t="shared" si="4"/>
        <v>0</v>
      </c>
      <c r="J18" s="283">
        <f t="shared" si="4"/>
        <v>0</v>
      </c>
      <c r="K18" s="283">
        <f t="shared" si="4"/>
        <v>0</v>
      </c>
      <c r="L18" s="283">
        <f t="shared" si="4"/>
        <v>0</v>
      </c>
      <c r="M18" s="568">
        <f t="shared" si="4"/>
        <v>0</v>
      </c>
      <c r="N18" s="568">
        <f t="shared" si="4"/>
        <v>0</v>
      </c>
      <c r="O18" s="569">
        <f t="shared" si="4"/>
        <v>0</v>
      </c>
      <c r="P18" s="569">
        <f t="shared" si="4"/>
        <v>0</v>
      </c>
      <c r="Q18" s="569">
        <f t="shared" si="4"/>
        <v>0</v>
      </c>
      <c r="R18" s="569">
        <f t="shared" si="4"/>
        <v>0</v>
      </c>
      <c r="S18" s="132">
        <f t="shared" si="1"/>
        <v>1682.6999999999998</v>
      </c>
    </row>
    <row r="19" spans="1:229" s="77" customFormat="1" ht="63" x14ac:dyDescent="0.25">
      <c r="A19" s="264" t="s">
        <v>115</v>
      </c>
      <c r="B19" s="380" t="s">
        <v>22</v>
      </c>
      <c r="C19" s="488" t="s">
        <v>14</v>
      </c>
      <c r="D19" s="380" t="s">
        <v>25</v>
      </c>
      <c r="E19" s="265" t="s">
        <v>368</v>
      </c>
      <c r="F19" s="380" t="s">
        <v>113</v>
      </c>
      <c r="G19" s="282"/>
      <c r="H19" s="303">
        <v>1677.6</v>
      </c>
      <c r="I19" s="265"/>
      <c r="J19" s="265"/>
      <c r="K19" s="265"/>
      <c r="L19" s="265"/>
      <c r="M19" s="570"/>
      <c r="N19" s="570"/>
      <c r="O19" s="571"/>
      <c r="P19" s="571"/>
      <c r="Q19" s="571"/>
      <c r="R19" s="571"/>
      <c r="S19" s="566">
        <f t="shared" si="1"/>
        <v>1677.6</v>
      </c>
    </row>
    <row r="20" spans="1:229" s="77" customFormat="1" ht="31.5" x14ac:dyDescent="0.25">
      <c r="A20" s="264" t="s">
        <v>124</v>
      </c>
      <c r="B20" s="380" t="s">
        <v>22</v>
      </c>
      <c r="C20" s="488" t="s">
        <v>14</v>
      </c>
      <c r="D20" s="380" t="s">
        <v>25</v>
      </c>
      <c r="E20" s="265" t="s">
        <v>368</v>
      </c>
      <c r="F20" s="380" t="s">
        <v>117</v>
      </c>
      <c r="G20" s="282"/>
      <c r="H20" s="303">
        <v>5.0999999999999996</v>
      </c>
      <c r="I20" s="265"/>
      <c r="J20" s="265"/>
      <c r="K20" s="265"/>
      <c r="L20" s="265"/>
      <c r="M20" s="570"/>
      <c r="N20" s="570"/>
      <c r="O20" s="571"/>
      <c r="P20" s="571"/>
      <c r="Q20" s="571"/>
      <c r="R20" s="571"/>
      <c r="S20" s="566">
        <f t="shared" si="1"/>
        <v>5.0999999999999996</v>
      </c>
    </row>
    <row r="21" spans="1:229" s="77" customFormat="1" x14ac:dyDescent="0.25">
      <c r="A21" s="264" t="s">
        <v>72</v>
      </c>
      <c r="B21" s="380" t="s">
        <v>22</v>
      </c>
      <c r="C21" s="488" t="s">
        <v>25</v>
      </c>
      <c r="D21" s="380" t="s">
        <v>10</v>
      </c>
      <c r="E21" s="265" t="s">
        <v>365</v>
      </c>
      <c r="F21" s="380" t="s">
        <v>9</v>
      </c>
      <c r="G21" s="282">
        <f t="shared" ref="G21:R23" si="5">G22</f>
        <v>0</v>
      </c>
      <c r="H21" s="282">
        <f t="shared" si="5"/>
        <v>592</v>
      </c>
      <c r="I21" s="282">
        <f t="shared" si="5"/>
        <v>0</v>
      </c>
      <c r="J21" s="282">
        <f t="shared" si="5"/>
        <v>0</v>
      </c>
      <c r="K21" s="282">
        <f t="shared" si="5"/>
        <v>0</v>
      </c>
      <c r="L21" s="282">
        <f t="shared" si="5"/>
        <v>0</v>
      </c>
      <c r="M21" s="566">
        <f t="shared" si="5"/>
        <v>0</v>
      </c>
      <c r="N21" s="566">
        <f t="shared" si="5"/>
        <v>0</v>
      </c>
      <c r="O21" s="131">
        <f t="shared" si="5"/>
        <v>0</v>
      </c>
      <c r="P21" s="131">
        <f t="shared" si="5"/>
        <v>0</v>
      </c>
      <c r="Q21" s="131">
        <f t="shared" si="5"/>
        <v>0</v>
      </c>
      <c r="R21" s="131">
        <f t="shared" si="5"/>
        <v>0</v>
      </c>
      <c r="S21" s="131">
        <f t="shared" si="1"/>
        <v>592</v>
      </c>
    </row>
    <row r="22" spans="1:229" s="77" customFormat="1" x14ac:dyDescent="0.25">
      <c r="A22" s="264" t="s">
        <v>1038</v>
      </c>
      <c r="B22" s="380" t="s">
        <v>22</v>
      </c>
      <c r="C22" s="488" t="s">
        <v>25</v>
      </c>
      <c r="D22" s="380" t="s">
        <v>14</v>
      </c>
      <c r="E22" s="265" t="s">
        <v>365</v>
      </c>
      <c r="F22" s="380" t="s">
        <v>9</v>
      </c>
      <c r="G22" s="282">
        <f t="shared" si="5"/>
        <v>0</v>
      </c>
      <c r="H22" s="282">
        <f t="shared" si="5"/>
        <v>592</v>
      </c>
      <c r="I22" s="282">
        <f t="shared" si="5"/>
        <v>0</v>
      </c>
      <c r="J22" s="282">
        <f t="shared" si="5"/>
        <v>0</v>
      </c>
      <c r="K22" s="282">
        <f t="shared" si="5"/>
        <v>0</v>
      </c>
      <c r="L22" s="282">
        <f t="shared" si="5"/>
        <v>0</v>
      </c>
      <c r="M22" s="566">
        <f t="shared" si="5"/>
        <v>0</v>
      </c>
      <c r="N22" s="566">
        <f t="shared" si="5"/>
        <v>0</v>
      </c>
      <c r="O22" s="131">
        <f t="shared" si="5"/>
        <v>0</v>
      </c>
      <c r="P22" s="131">
        <f t="shared" si="5"/>
        <v>0</v>
      </c>
      <c r="Q22" s="131">
        <f t="shared" si="5"/>
        <v>0</v>
      </c>
      <c r="R22" s="131">
        <f t="shared" si="5"/>
        <v>0</v>
      </c>
      <c r="S22" s="131">
        <f t="shared" si="1"/>
        <v>592</v>
      </c>
    </row>
    <row r="23" spans="1:229" s="77" customFormat="1" x14ac:dyDescent="0.25">
      <c r="A23" s="267" t="s">
        <v>692</v>
      </c>
      <c r="B23" s="497" t="s">
        <v>22</v>
      </c>
      <c r="C23" s="496" t="s">
        <v>25</v>
      </c>
      <c r="D23" s="497" t="s">
        <v>14</v>
      </c>
      <c r="E23" s="285" t="s">
        <v>381</v>
      </c>
      <c r="F23" s="497" t="s">
        <v>9</v>
      </c>
      <c r="G23" s="283">
        <f t="shared" si="5"/>
        <v>0</v>
      </c>
      <c r="H23" s="283">
        <f t="shared" si="5"/>
        <v>592</v>
      </c>
      <c r="I23" s="283">
        <f t="shared" si="5"/>
        <v>0</v>
      </c>
      <c r="J23" s="283">
        <f t="shared" si="5"/>
        <v>0</v>
      </c>
      <c r="K23" s="283">
        <f t="shared" si="5"/>
        <v>0</v>
      </c>
      <c r="L23" s="283">
        <f t="shared" si="5"/>
        <v>0</v>
      </c>
      <c r="M23" s="568">
        <f t="shared" si="5"/>
        <v>0</v>
      </c>
      <c r="N23" s="568">
        <f t="shared" si="5"/>
        <v>0</v>
      </c>
      <c r="O23" s="132">
        <f t="shared" si="5"/>
        <v>0</v>
      </c>
      <c r="P23" s="132">
        <f t="shared" si="5"/>
        <v>0</v>
      </c>
      <c r="Q23" s="132">
        <f t="shared" si="5"/>
        <v>0</v>
      </c>
      <c r="R23" s="132">
        <f t="shared" si="5"/>
        <v>0</v>
      </c>
      <c r="S23" s="131">
        <f t="shared" si="1"/>
        <v>592</v>
      </c>
    </row>
    <row r="24" spans="1:229" s="77" customFormat="1" x14ac:dyDescent="0.25">
      <c r="A24" s="267" t="s">
        <v>133</v>
      </c>
      <c r="B24" s="497" t="s">
        <v>22</v>
      </c>
      <c r="C24" s="496" t="s">
        <v>25</v>
      </c>
      <c r="D24" s="497" t="s">
        <v>14</v>
      </c>
      <c r="E24" s="285" t="s">
        <v>382</v>
      </c>
      <c r="F24" s="497" t="s">
        <v>9</v>
      </c>
      <c r="G24" s="283">
        <f>G25</f>
        <v>0</v>
      </c>
      <c r="H24" s="283">
        <f>H25</f>
        <v>592</v>
      </c>
      <c r="I24" s="283"/>
      <c r="J24" s="283">
        <f t="shared" ref="J24:R24" si="6">J25</f>
        <v>0</v>
      </c>
      <c r="K24" s="283">
        <f t="shared" si="6"/>
        <v>0</v>
      </c>
      <c r="L24" s="283">
        <f t="shared" si="6"/>
        <v>0</v>
      </c>
      <c r="M24" s="568">
        <f t="shared" si="6"/>
        <v>0</v>
      </c>
      <c r="N24" s="568">
        <f t="shared" si="6"/>
        <v>0</v>
      </c>
      <c r="O24" s="132">
        <f t="shared" si="6"/>
        <v>0</v>
      </c>
      <c r="P24" s="132">
        <f t="shared" si="6"/>
        <v>0</v>
      </c>
      <c r="Q24" s="132">
        <f t="shared" si="6"/>
        <v>0</v>
      </c>
      <c r="R24" s="132">
        <f t="shared" si="6"/>
        <v>0</v>
      </c>
      <c r="S24" s="131">
        <f t="shared" si="1"/>
        <v>592</v>
      </c>
    </row>
    <row r="25" spans="1:229" s="77" customFormat="1" ht="63" x14ac:dyDescent="0.25">
      <c r="A25" s="264" t="s">
        <v>115</v>
      </c>
      <c r="B25" s="380" t="s">
        <v>22</v>
      </c>
      <c r="C25" s="488" t="s">
        <v>25</v>
      </c>
      <c r="D25" s="380" t="s">
        <v>14</v>
      </c>
      <c r="E25" s="265" t="s">
        <v>382</v>
      </c>
      <c r="F25" s="380" t="s">
        <v>113</v>
      </c>
      <c r="G25" s="282"/>
      <c r="H25" s="303">
        <v>592</v>
      </c>
      <c r="I25" s="265"/>
      <c r="J25" s="265"/>
      <c r="K25" s="265"/>
      <c r="L25" s="265"/>
      <c r="M25" s="570"/>
      <c r="N25" s="570"/>
      <c r="O25" s="571"/>
      <c r="P25" s="571"/>
      <c r="Q25" s="571"/>
      <c r="R25" s="571"/>
      <c r="S25" s="566">
        <f t="shared" si="1"/>
        <v>592</v>
      </c>
    </row>
    <row r="26" spans="1:229" s="77" customFormat="1" x14ac:dyDescent="0.25">
      <c r="A26" s="264" t="s">
        <v>30</v>
      </c>
      <c r="B26" s="380" t="s">
        <v>22</v>
      </c>
      <c r="C26" s="488" t="s">
        <v>31</v>
      </c>
      <c r="D26" s="380" t="s">
        <v>10</v>
      </c>
      <c r="E26" s="265" t="s">
        <v>365</v>
      </c>
      <c r="F26" s="380" t="s">
        <v>9</v>
      </c>
      <c r="G26" s="282">
        <f t="shared" ref="G26:R26" si="7">G27+G53+G144+G151+G119</f>
        <v>222670.77799999996</v>
      </c>
      <c r="H26" s="282">
        <f t="shared" si="7"/>
        <v>163241.00199999998</v>
      </c>
      <c r="I26" s="282">
        <f t="shared" si="7"/>
        <v>-1.4210854715202004E-14</v>
      </c>
      <c r="J26" s="303">
        <f t="shared" si="7"/>
        <v>714</v>
      </c>
      <c r="K26" s="282">
        <f t="shared" si="7"/>
        <v>35876.589999999997</v>
      </c>
      <c r="L26" s="282">
        <f t="shared" si="7"/>
        <v>482.1</v>
      </c>
      <c r="M26" s="566">
        <f t="shared" si="7"/>
        <v>311.10000000000002</v>
      </c>
      <c r="N26" s="566">
        <f t="shared" si="7"/>
        <v>1103.5079999999998</v>
      </c>
      <c r="O26" s="567">
        <f t="shared" si="7"/>
        <v>0</v>
      </c>
      <c r="P26" s="567">
        <f t="shared" si="7"/>
        <v>0</v>
      </c>
      <c r="Q26" s="567">
        <f t="shared" si="7"/>
        <v>0</v>
      </c>
      <c r="R26" s="567">
        <f t="shared" si="7"/>
        <v>0</v>
      </c>
      <c r="S26" s="131">
        <f t="shared" si="1"/>
        <v>424399.0779999998</v>
      </c>
    </row>
    <row r="27" spans="1:229" s="80" customFormat="1" x14ac:dyDescent="0.25">
      <c r="A27" s="267" t="s">
        <v>32</v>
      </c>
      <c r="B27" s="497" t="s">
        <v>22</v>
      </c>
      <c r="C27" s="496" t="s">
        <v>31</v>
      </c>
      <c r="D27" s="497" t="s">
        <v>14</v>
      </c>
      <c r="E27" s="285" t="s">
        <v>365</v>
      </c>
      <c r="F27" s="497" t="s">
        <v>9</v>
      </c>
      <c r="G27" s="283">
        <f t="shared" ref="G27:R27" si="8">G28</f>
        <v>31158</v>
      </c>
      <c r="H27" s="283">
        <f t="shared" si="8"/>
        <v>55710.2</v>
      </c>
      <c r="I27" s="283">
        <f t="shared" si="8"/>
        <v>13.616</v>
      </c>
      <c r="J27" s="283">
        <f t="shared" si="8"/>
        <v>282.5</v>
      </c>
      <c r="K27" s="283">
        <f t="shared" si="8"/>
        <v>6678.2</v>
      </c>
      <c r="L27" s="283">
        <f t="shared" si="8"/>
        <v>0</v>
      </c>
      <c r="M27" s="568">
        <f t="shared" si="8"/>
        <v>116.81599999999999</v>
      </c>
      <c r="N27" s="568">
        <f t="shared" si="8"/>
        <v>171.482</v>
      </c>
      <c r="O27" s="569">
        <f t="shared" si="8"/>
        <v>0</v>
      </c>
      <c r="P27" s="569">
        <f t="shared" si="8"/>
        <v>0</v>
      </c>
      <c r="Q27" s="569">
        <f t="shared" si="8"/>
        <v>0</v>
      </c>
      <c r="R27" s="569">
        <f t="shared" si="8"/>
        <v>0</v>
      </c>
      <c r="S27" s="132">
        <f t="shared" si="1"/>
        <v>94130.813999999998</v>
      </c>
    </row>
    <row r="28" spans="1:229" s="80" customFormat="1" ht="31.5" x14ac:dyDescent="0.25">
      <c r="A28" s="267" t="s">
        <v>783</v>
      </c>
      <c r="B28" s="497" t="s">
        <v>22</v>
      </c>
      <c r="C28" s="496" t="s">
        <v>31</v>
      </c>
      <c r="D28" s="497" t="s">
        <v>14</v>
      </c>
      <c r="E28" s="285" t="s">
        <v>366</v>
      </c>
      <c r="F28" s="497" t="s">
        <v>9</v>
      </c>
      <c r="G28" s="283">
        <f t="shared" ref="G28:R28" si="9">G29+G46+G41+G44</f>
        <v>31158</v>
      </c>
      <c r="H28" s="283">
        <f t="shared" si="9"/>
        <v>55710.2</v>
      </c>
      <c r="I28" s="283">
        <f t="shared" si="9"/>
        <v>13.616</v>
      </c>
      <c r="J28" s="283">
        <f t="shared" si="9"/>
        <v>282.5</v>
      </c>
      <c r="K28" s="283">
        <f t="shared" si="9"/>
        <v>6678.2</v>
      </c>
      <c r="L28" s="283">
        <f t="shared" si="9"/>
        <v>0</v>
      </c>
      <c r="M28" s="568">
        <f t="shared" si="9"/>
        <v>116.81599999999999</v>
      </c>
      <c r="N28" s="568">
        <f t="shared" si="9"/>
        <v>171.482</v>
      </c>
      <c r="O28" s="569">
        <f t="shared" si="9"/>
        <v>0</v>
      </c>
      <c r="P28" s="569">
        <f t="shared" si="9"/>
        <v>0</v>
      </c>
      <c r="Q28" s="569">
        <f t="shared" si="9"/>
        <v>0</v>
      </c>
      <c r="R28" s="569">
        <f t="shared" si="9"/>
        <v>0</v>
      </c>
      <c r="S28" s="132">
        <f t="shared" si="1"/>
        <v>94130.813999999998</v>
      </c>
    </row>
    <row r="29" spans="1:229" s="80" customFormat="1" ht="31.5" x14ac:dyDescent="0.25">
      <c r="A29" s="267" t="s">
        <v>565</v>
      </c>
      <c r="B29" s="497" t="s">
        <v>22</v>
      </c>
      <c r="C29" s="496" t="s">
        <v>31</v>
      </c>
      <c r="D29" s="497" t="s">
        <v>14</v>
      </c>
      <c r="E29" s="285" t="s">
        <v>370</v>
      </c>
      <c r="F29" s="497" t="s">
        <v>9</v>
      </c>
      <c r="G29" s="283">
        <f t="shared" ref="G29:R29" si="10">G30+G34+G39</f>
        <v>0</v>
      </c>
      <c r="H29" s="283">
        <f t="shared" si="10"/>
        <v>55710.2</v>
      </c>
      <c r="I29" s="283">
        <f t="shared" si="10"/>
        <v>13.616</v>
      </c>
      <c r="J29" s="283">
        <f t="shared" si="10"/>
        <v>282.5</v>
      </c>
      <c r="K29" s="283">
        <f t="shared" si="10"/>
        <v>1765.4</v>
      </c>
      <c r="L29" s="283">
        <f t="shared" si="10"/>
        <v>0</v>
      </c>
      <c r="M29" s="568">
        <f t="shared" si="10"/>
        <v>-3.2839999999999998</v>
      </c>
      <c r="N29" s="568">
        <f t="shared" si="10"/>
        <v>171.482</v>
      </c>
      <c r="O29" s="569">
        <f t="shared" si="10"/>
        <v>0</v>
      </c>
      <c r="P29" s="569">
        <f t="shared" si="10"/>
        <v>0</v>
      </c>
      <c r="Q29" s="569">
        <f t="shared" si="10"/>
        <v>0</v>
      </c>
      <c r="R29" s="569">
        <f t="shared" si="10"/>
        <v>0</v>
      </c>
      <c r="S29" s="132">
        <f t="shared" si="1"/>
        <v>57939.914000000004</v>
      </c>
    </row>
    <row r="30" spans="1:229" s="80" customFormat="1" x14ac:dyDescent="0.25">
      <c r="A30" s="267" t="s">
        <v>179</v>
      </c>
      <c r="B30" s="497" t="s">
        <v>22</v>
      </c>
      <c r="C30" s="496" t="s">
        <v>31</v>
      </c>
      <c r="D30" s="497" t="s">
        <v>14</v>
      </c>
      <c r="E30" s="285" t="s">
        <v>371</v>
      </c>
      <c r="F30" s="497" t="s">
        <v>9</v>
      </c>
      <c r="G30" s="283">
        <f t="shared" ref="G30:R30" si="11">G32+G33+G31</f>
        <v>0</v>
      </c>
      <c r="H30" s="283">
        <f t="shared" si="11"/>
        <v>27396.600000000002</v>
      </c>
      <c r="I30" s="283">
        <f t="shared" si="11"/>
        <v>13.616</v>
      </c>
      <c r="J30" s="283">
        <f t="shared" si="11"/>
        <v>282.5</v>
      </c>
      <c r="K30" s="283">
        <f t="shared" si="11"/>
        <v>-128.69999999999999</v>
      </c>
      <c r="L30" s="283">
        <f t="shared" si="11"/>
        <v>0</v>
      </c>
      <c r="M30" s="568">
        <f t="shared" si="11"/>
        <v>0</v>
      </c>
      <c r="N30" s="568">
        <f t="shared" si="11"/>
        <v>69.481999999999999</v>
      </c>
      <c r="O30" s="569">
        <f t="shared" si="11"/>
        <v>0</v>
      </c>
      <c r="P30" s="569">
        <f t="shared" si="11"/>
        <v>0</v>
      </c>
      <c r="Q30" s="569">
        <f t="shared" si="11"/>
        <v>0</v>
      </c>
      <c r="R30" s="569">
        <f t="shared" si="11"/>
        <v>0</v>
      </c>
      <c r="S30" s="132">
        <f t="shared" si="1"/>
        <v>27633.498000000003</v>
      </c>
    </row>
    <row r="31" spans="1:229" s="80" customFormat="1" ht="63" x14ac:dyDescent="0.25">
      <c r="A31" s="264" t="s">
        <v>115</v>
      </c>
      <c r="B31" s="380" t="s">
        <v>22</v>
      </c>
      <c r="C31" s="488" t="s">
        <v>31</v>
      </c>
      <c r="D31" s="380" t="s">
        <v>14</v>
      </c>
      <c r="E31" s="265" t="s">
        <v>371</v>
      </c>
      <c r="F31" s="380" t="s">
        <v>113</v>
      </c>
      <c r="G31" s="282"/>
      <c r="H31" s="303">
        <f>33832-25000-1090</f>
        <v>7742</v>
      </c>
      <c r="I31" s="265">
        <v>0.7</v>
      </c>
      <c r="J31" s="282"/>
      <c r="K31" s="418">
        <v>-128.69999999999999</v>
      </c>
      <c r="L31" s="265"/>
      <c r="M31" s="570">
        <v>31.9</v>
      </c>
      <c r="N31" s="570">
        <v>4.5999999999999996</v>
      </c>
      <c r="O31" s="571"/>
      <c r="P31" s="571"/>
      <c r="Q31" s="571"/>
      <c r="R31" s="571"/>
      <c r="S31" s="566">
        <f t="shared" si="1"/>
        <v>7650.5</v>
      </c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4"/>
      <c r="HP31" s="75"/>
      <c r="HQ31" s="75"/>
      <c r="HR31" s="75"/>
      <c r="HS31" s="75"/>
      <c r="HT31" s="75"/>
      <c r="HU31" s="76"/>
    </row>
    <row r="32" spans="1:229" s="77" customFormat="1" ht="31.5" x14ac:dyDescent="0.25">
      <c r="A32" s="264" t="s">
        <v>124</v>
      </c>
      <c r="B32" s="380" t="s">
        <v>22</v>
      </c>
      <c r="C32" s="488" t="s">
        <v>31</v>
      </c>
      <c r="D32" s="380" t="s">
        <v>14</v>
      </c>
      <c r="E32" s="265" t="s">
        <v>371</v>
      </c>
      <c r="F32" s="380" t="s">
        <v>117</v>
      </c>
      <c r="G32" s="282"/>
      <c r="H32" s="303">
        <f>13400+7967.4-2000</f>
        <v>19367.400000000001</v>
      </c>
      <c r="I32" s="265">
        <v>12.916</v>
      </c>
      <c r="J32" s="303">
        <v>282.5</v>
      </c>
      <c r="K32" s="265"/>
      <c r="L32" s="265"/>
      <c r="M32" s="570">
        <v>-31.9</v>
      </c>
      <c r="N32" s="622">
        <f>185.1+55.342-165</f>
        <v>75.442000000000007</v>
      </c>
      <c r="O32" s="571"/>
      <c r="P32" s="571"/>
      <c r="Q32" s="571"/>
      <c r="R32" s="571"/>
      <c r="S32" s="566">
        <f t="shared" si="1"/>
        <v>19706.358</v>
      </c>
    </row>
    <row r="33" spans="1:19" s="77" customFormat="1" x14ac:dyDescent="0.25">
      <c r="A33" s="264" t="s">
        <v>116</v>
      </c>
      <c r="B33" s="380" t="s">
        <v>22</v>
      </c>
      <c r="C33" s="488" t="s">
        <v>31</v>
      </c>
      <c r="D33" s="380" t="s">
        <v>14</v>
      </c>
      <c r="E33" s="265" t="s">
        <v>371</v>
      </c>
      <c r="F33" s="380" t="s">
        <v>114</v>
      </c>
      <c r="G33" s="282"/>
      <c r="H33" s="303">
        <f>510.8-223.6</f>
        <v>287.20000000000005</v>
      </c>
      <c r="I33" s="265"/>
      <c r="J33" s="265"/>
      <c r="K33" s="265"/>
      <c r="L33" s="265"/>
      <c r="M33" s="570"/>
      <c r="N33" s="622">
        <f>-2.5-8.06</f>
        <v>-10.56</v>
      </c>
      <c r="O33" s="571"/>
      <c r="P33" s="571"/>
      <c r="Q33" s="571"/>
      <c r="R33" s="571"/>
      <c r="S33" s="566">
        <f t="shared" si="1"/>
        <v>276.64000000000004</v>
      </c>
    </row>
    <row r="34" spans="1:19" s="80" customFormat="1" x14ac:dyDescent="0.25">
      <c r="A34" s="267" t="s">
        <v>179</v>
      </c>
      <c r="B34" s="497" t="s">
        <v>22</v>
      </c>
      <c r="C34" s="496" t="s">
        <v>31</v>
      </c>
      <c r="D34" s="497" t="s">
        <v>14</v>
      </c>
      <c r="E34" s="285" t="s">
        <v>466</v>
      </c>
      <c r="F34" s="497" t="s">
        <v>9</v>
      </c>
      <c r="G34" s="283">
        <f>G35+G38+G36+G37</f>
        <v>0</v>
      </c>
      <c r="H34" s="283">
        <f t="shared" ref="H34:R34" si="12">H35+H38+H36+H37</f>
        <v>27223.599999999999</v>
      </c>
      <c r="I34" s="283">
        <f t="shared" si="12"/>
        <v>0</v>
      </c>
      <c r="J34" s="283">
        <f t="shared" si="12"/>
        <v>0</v>
      </c>
      <c r="K34" s="283">
        <f t="shared" si="12"/>
        <v>1765.4</v>
      </c>
      <c r="L34" s="283">
        <f t="shared" si="12"/>
        <v>0</v>
      </c>
      <c r="M34" s="283">
        <f t="shared" si="12"/>
        <v>-3.2839999999999998</v>
      </c>
      <c r="N34" s="132">
        <f t="shared" si="12"/>
        <v>102</v>
      </c>
      <c r="O34" s="132">
        <f t="shared" si="12"/>
        <v>0</v>
      </c>
      <c r="P34" s="132">
        <f t="shared" si="12"/>
        <v>0</v>
      </c>
      <c r="Q34" s="132">
        <f t="shared" si="12"/>
        <v>0</v>
      </c>
      <c r="R34" s="132">
        <f t="shared" si="12"/>
        <v>0</v>
      </c>
      <c r="S34" s="132">
        <f t="shared" si="1"/>
        <v>29087.716</v>
      </c>
    </row>
    <row r="35" spans="1:19" s="77" customFormat="1" ht="63" x14ac:dyDescent="0.25">
      <c r="A35" s="264" t="s">
        <v>115</v>
      </c>
      <c r="B35" s="380" t="s">
        <v>22</v>
      </c>
      <c r="C35" s="488" t="s">
        <v>31</v>
      </c>
      <c r="D35" s="380" t="s">
        <v>14</v>
      </c>
      <c r="E35" s="265" t="s">
        <v>466</v>
      </c>
      <c r="F35" s="380" t="s">
        <v>113</v>
      </c>
      <c r="G35" s="282"/>
      <c r="H35" s="303">
        <v>25000</v>
      </c>
      <c r="I35" s="265"/>
      <c r="J35" s="265"/>
      <c r="K35" s="419">
        <v>1765.4</v>
      </c>
      <c r="L35" s="265"/>
      <c r="M35" s="570"/>
      <c r="N35" s="570">
        <v>-97.451999999999998</v>
      </c>
      <c r="O35" s="571"/>
      <c r="P35" s="571"/>
      <c r="Q35" s="571"/>
      <c r="R35" s="571"/>
      <c r="S35" s="566">
        <f t="shared" si="1"/>
        <v>26667.948</v>
      </c>
    </row>
    <row r="36" spans="1:19" s="77" customFormat="1" ht="31.5" x14ac:dyDescent="0.25">
      <c r="A36" s="264" t="s">
        <v>124</v>
      </c>
      <c r="B36" s="380" t="s">
        <v>22</v>
      </c>
      <c r="C36" s="488" t="s">
        <v>31</v>
      </c>
      <c r="D36" s="380" t="s">
        <v>14</v>
      </c>
      <c r="E36" s="265" t="s">
        <v>466</v>
      </c>
      <c r="F36" s="380" t="s">
        <v>117</v>
      </c>
      <c r="G36" s="282"/>
      <c r="H36" s="303">
        <v>2000</v>
      </c>
      <c r="I36" s="265"/>
      <c r="J36" s="265"/>
      <c r="K36" s="265"/>
      <c r="L36" s="265"/>
      <c r="M36" s="570"/>
      <c r="N36" s="622">
        <v>102</v>
      </c>
      <c r="O36" s="571"/>
      <c r="P36" s="571"/>
      <c r="Q36" s="571"/>
      <c r="R36" s="571"/>
      <c r="S36" s="566">
        <f t="shared" si="1"/>
        <v>2102</v>
      </c>
    </row>
    <row r="37" spans="1:19" s="77" customFormat="1" x14ac:dyDescent="0.25">
      <c r="A37" s="264" t="s">
        <v>125</v>
      </c>
      <c r="B37" s="380">
        <v>903</v>
      </c>
      <c r="C37" s="75" t="s">
        <v>31</v>
      </c>
      <c r="D37" s="75" t="s">
        <v>14</v>
      </c>
      <c r="E37" s="75" t="s">
        <v>1266</v>
      </c>
      <c r="F37" s="75" t="s">
        <v>118</v>
      </c>
      <c r="G37" s="282"/>
      <c r="H37" s="303"/>
      <c r="I37" s="265"/>
      <c r="J37" s="265"/>
      <c r="K37" s="265"/>
      <c r="L37" s="265"/>
      <c r="M37" s="570"/>
      <c r="N37" s="570">
        <v>97.451999999999998</v>
      </c>
      <c r="O37" s="571"/>
      <c r="P37" s="571"/>
      <c r="Q37" s="571"/>
      <c r="R37" s="571"/>
      <c r="S37" s="566">
        <f t="shared" si="1"/>
        <v>97.451999999999998</v>
      </c>
    </row>
    <row r="38" spans="1:19" s="77" customFormat="1" x14ac:dyDescent="0.25">
      <c r="A38" s="264" t="s">
        <v>116</v>
      </c>
      <c r="B38" s="380" t="s">
        <v>22</v>
      </c>
      <c r="C38" s="488" t="s">
        <v>31</v>
      </c>
      <c r="D38" s="380" t="s">
        <v>14</v>
      </c>
      <c r="E38" s="265" t="s">
        <v>466</v>
      </c>
      <c r="F38" s="380" t="s">
        <v>114</v>
      </c>
      <c r="G38" s="282"/>
      <c r="H38" s="303">
        <v>223.6</v>
      </c>
      <c r="I38" s="265"/>
      <c r="J38" s="265"/>
      <c r="K38" s="265"/>
      <c r="L38" s="265"/>
      <c r="M38" s="570">
        <v>-3.2839999999999998</v>
      </c>
      <c r="N38" s="570"/>
      <c r="O38" s="571"/>
      <c r="P38" s="571"/>
      <c r="Q38" s="571"/>
      <c r="R38" s="571"/>
      <c r="S38" s="566">
        <f t="shared" si="1"/>
        <v>220.316</v>
      </c>
    </row>
    <row r="39" spans="1:19" s="80" customFormat="1" ht="18.75" x14ac:dyDescent="0.25">
      <c r="A39" s="267" t="s">
        <v>179</v>
      </c>
      <c r="B39" s="497" t="s">
        <v>22</v>
      </c>
      <c r="C39" s="499" t="s">
        <v>31</v>
      </c>
      <c r="D39" s="497" t="s">
        <v>14</v>
      </c>
      <c r="E39" s="285" t="s">
        <v>467</v>
      </c>
      <c r="F39" s="497" t="s">
        <v>9</v>
      </c>
      <c r="G39" s="283">
        <f t="shared" ref="G39:R39" si="13">G40</f>
        <v>0</v>
      </c>
      <c r="H39" s="283">
        <f t="shared" si="13"/>
        <v>1090</v>
      </c>
      <c r="I39" s="283">
        <f t="shared" si="13"/>
        <v>0</v>
      </c>
      <c r="J39" s="283">
        <f t="shared" si="13"/>
        <v>0</v>
      </c>
      <c r="K39" s="283">
        <f t="shared" si="13"/>
        <v>128.69999999999999</v>
      </c>
      <c r="L39" s="283">
        <f t="shared" si="13"/>
        <v>0</v>
      </c>
      <c r="M39" s="568">
        <f t="shared" si="13"/>
        <v>0</v>
      </c>
      <c r="N39" s="568">
        <f t="shared" si="13"/>
        <v>0</v>
      </c>
      <c r="O39" s="569">
        <f t="shared" si="13"/>
        <v>0</v>
      </c>
      <c r="P39" s="569">
        <f t="shared" si="13"/>
        <v>0</v>
      </c>
      <c r="Q39" s="569">
        <f t="shared" si="13"/>
        <v>0</v>
      </c>
      <c r="R39" s="569">
        <f t="shared" si="13"/>
        <v>0</v>
      </c>
      <c r="S39" s="132">
        <f t="shared" si="1"/>
        <v>1218.7</v>
      </c>
    </row>
    <row r="40" spans="1:19" s="77" customFormat="1" ht="63" x14ac:dyDescent="0.25">
      <c r="A40" s="264" t="s">
        <v>115</v>
      </c>
      <c r="B40" s="380" t="s">
        <v>22</v>
      </c>
      <c r="C40" s="488" t="s">
        <v>31</v>
      </c>
      <c r="D40" s="380" t="s">
        <v>14</v>
      </c>
      <c r="E40" s="265" t="s">
        <v>467</v>
      </c>
      <c r="F40" s="380" t="s">
        <v>113</v>
      </c>
      <c r="G40" s="282"/>
      <c r="H40" s="303">
        <v>1090</v>
      </c>
      <c r="I40" s="265"/>
      <c r="J40" s="282"/>
      <c r="K40" s="418">
        <v>128.69999999999999</v>
      </c>
      <c r="L40" s="265"/>
      <c r="M40" s="570"/>
      <c r="N40" s="570"/>
      <c r="O40" s="571"/>
      <c r="P40" s="571"/>
      <c r="Q40" s="571"/>
      <c r="R40" s="571"/>
      <c r="S40" s="566">
        <f t="shared" si="1"/>
        <v>1218.7</v>
      </c>
    </row>
    <row r="41" spans="1:19" s="77" customFormat="1" ht="50.25" customHeight="1" x14ac:dyDescent="0.25">
      <c r="A41" s="267" t="s">
        <v>41</v>
      </c>
      <c r="B41" s="497" t="s">
        <v>22</v>
      </c>
      <c r="C41" s="496" t="s">
        <v>31</v>
      </c>
      <c r="D41" s="497" t="s">
        <v>14</v>
      </c>
      <c r="E41" s="285" t="s">
        <v>383</v>
      </c>
      <c r="F41" s="497" t="s">
        <v>9</v>
      </c>
      <c r="G41" s="282">
        <f>G42</f>
        <v>0</v>
      </c>
      <c r="H41" s="282">
        <f t="shared" ref="H41:R41" si="14">H42</f>
        <v>0</v>
      </c>
      <c r="I41" s="282">
        <f t="shared" si="14"/>
        <v>0</v>
      </c>
      <c r="J41" s="282">
        <f t="shared" si="14"/>
        <v>0</v>
      </c>
      <c r="K41" s="282">
        <f t="shared" si="14"/>
        <v>358.4</v>
      </c>
      <c r="L41" s="282">
        <f t="shared" si="14"/>
        <v>0</v>
      </c>
      <c r="M41" s="566">
        <f t="shared" si="14"/>
        <v>0</v>
      </c>
      <c r="N41" s="566">
        <f t="shared" si="14"/>
        <v>0</v>
      </c>
      <c r="O41" s="131">
        <f t="shared" si="14"/>
        <v>0</v>
      </c>
      <c r="P41" s="131">
        <f t="shared" si="14"/>
        <v>0</v>
      </c>
      <c r="Q41" s="131">
        <f t="shared" si="14"/>
        <v>0</v>
      </c>
      <c r="R41" s="131">
        <f t="shared" si="14"/>
        <v>0</v>
      </c>
      <c r="S41" s="132">
        <f t="shared" si="1"/>
        <v>358.4</v>
      </c>
    </row>
    <row r="42" spans="1:19" s="77" customFormat="1" ht="63" x14ac:dyDescent="0.25">
      <c r="A42" s="267" t="s">
        <v>808</v>
      </c>
      <c r="B42" s="497" t="s">
        <v>22</v>
      </c>
      <c r="C42" s="496" t="s">
        <v>31</v>
      </c>
      <c r="D42" s="497" t="s">
        <v>14</v>
      </c>
      <c r="E42" s="285" t="s">
        <v>807</v>
      </c>
      <c r="F42" s="497" t="s">
        <v>9</v>
      </c>
      <c r="G42" s="282">
        <f>G43</f>
        <v>0</v>
      </c>
      <c r="H42" s="282">
        <f t="shared" ref="H42:R42" si="15">H43</f>
        <v>0</v>
      </c>
      <c r="I42" s="282">
        <f t="shared" si="15"/>
        <v>0</v>
      </c>
      <c r="J42" s="282">
        <f t="shared" si="15"/>
        <v>0</v>
      </c>
      <c r="K42" s="282">
        <f t="shared" si="15"/>
        <v>358.4</v>
      </c>
      <c r="L42" s="282">
        <f t="shared" si="15"/>
        <v>0</v>
      </c>
      <c r="M42" s="566">
        <f t="shared" si="15"/>
        <v>0</v>
      </c>
      <c r="N42" s="566">
        <f t="shared" si="15"/>
        <v>0</v>
      </c>
      <c r="O42" s="567">
        <f t="shared" si="15"/>
        <v>0</v>
      </c>
      <c r="P42" s="567">
        <f t="shared" si="15"/>
        <v>0</v>
      </c>
      <c r="Q42" s="567">
        <f t="shared" si="15"/>
        <v>0</v>
      </c>
      <c r="R42" s="567">
        <f t="shared" si="15"/>
        <v>0</v>
      </c>
      <c r="S42" s="132">
        <f t="shared" si="1"/>
        <v>358.4</v>
      </c>
    </row>
    <row r="43" spans="1:19" s="77" customFormat="1" ht="31.5" x14ac:dyDescent="0.25">
      <c r="A43" s="264" t="s">
        <v>124</v>
      </c>
      <c r="B43" s="380" t="s">
        <v>22</v>
      </c>
      <c r="C43" s="488" t="s">
        <v>31</v>
      </c>
      <c r="D43" s="380" t="s">
        <v>14</v>
      </c>
      <c r="E43" s="265" t="s">
        <v>807</v>
      </c>
      <c r="F43" s="380" t="s">
        <v>117</v>
      </c>
      <c r="G43" s="282"/>
      <c r="H43" s="303"/>
      <c r="I43" s="393"/>
      <c r="J43" s="282"/>
      <c r="K43" s="265">
        <v>358.4</v>
      </c>
      <c r="L43" s="265"/>
      <c r="M43" s="570"/>
      <c r="N43" s="570"/>
      <c r="O43" s="571"/>
      <c r="P43" s="571"/>
      <c r="Q43" s="571"/>
      <c r="R43" s="571"/>
      <c r="S43" s="566">
        <f t="shared" si="1"/>
        <v>358.4</v>
      </c>
    </row>
    <row r="44" spans="1:19" s="77" customFormat="1" ht="63" x14ac:dyDescent="0.25">
      <c r="A44" s="267" t="s">
        <v>808</v>
      </c>
      <c r="B44" s="497" t="s">
        <v>22</v>
      </c>
      <c r="C44" s="496" t="s">
        <v>31</v>
      </c>
      <c r="D44" s="497" t="s">
        <v>14</v>
      </c>
      <c r="E44" s="285" t="s">
        <v>809</v>
      </c>
      <c r="F44" s="497" t="s">
        <v>9</v>
      </c>
      <c r="G44" s="283">
        <f t="shared" ref="G44:R44" si="16">G45</f>
        <v>0</v>
      </c>
      <c r="H44" s="283">
        <f t="shared" si="16"/>
        <v>0</v>
      </c>
      <c r="I44" s="283">
        <f t="shared" si="16"/>
        <v>0</v>
      </c>
      <c r="J44" s="283">
        <f t="shared" si="16"/>
        <v>0</v>
      </c>
      <c r="K44" s="283">
        <f t="shared" si="16"/>
        <v>3.8</v>
      </c>
      <c r="L44" s="283">
        <f t="shared" si="16"/>
        <v>0</v>
      </c>
      <c r="M44" s="568">
        <f t="shared" si="16"/>
        <v>0</v>
      </c>
      <c r="N44" s="568">
        <f t="shared" si="16"/>
        <v>0</v>
      </c>
      <c r="O44" s="569">
        <f t="shared" si="16"/>
        <v>0</v>
      </c>
      <c r="P44" s="569">
        <f t="shared" si="16"/>
        <v>0</v>
      </c>
      <c r="Q44" s="569">
        <f t="shared" si="16"/>
        <v>0</v>
      </c>
      <c r="R44" s="569">
        <f t="shared" si="16"/>
        <v>0</v>
      </c>
      <c r="S44" s="132">
        <f t="shared" si="1"/>
        <v>3.8</v>
      </c>
    </row>
    <row r="45" spans="1:19" s="77" customFormat="1" ht="31.5" x14ac:dyDescent="0.25">
      <c r="A45" s="264" t="s">
        <v>124</v>
      </c>
      <c r="B45" s="380" t="s">
        <v>22</v>
      </c>
      <c r="C45" s="488" t="s">
        <v>31</v>
      </c>
      <c r="D45" s="380" t="s">
        <v>14</v>
      </c>
      <c r="E45" s="265" t="s">
        <v>809</v>
      </c>
      <c r="F45" s="380" t="s">
        <v>117</v>
      </c>
      <c r="G45" s="282"/>
      <c r="H45" s="303"/>
      <c r="I45" s="393"/>
      <c r="J45" s="282"/>
      <c r="K45" s="265">
        <v>3.8</v>
      </c>
      <c r="L45" s="265"/>
      <c r="M45" s="570"/>
      <c r="N45" s="570"/>
      <c r="O45" s="571"/>
      <c r="P45" s="571"/>
      <c r="Q45" s="571"/>
      <c r="R45" s="571"/>
      <c r="S45" s="566">
        <f t="shared" si="1"/>
        <v>3.8</v>
      </c>
    </row>
    <row r="46" spans="1:19" s="80" customFormat="1" x14ac:dyDescent="0.25">
      <c r="A46" s="267" t="s">
        <v>33</v>
      </c>
      <c r="B46" s="497" t="s">
        <v>22</v>
      </c>
      <c r="C46" s="496" t="s">
        <v>31</v>
      </c>
      <c r="D46" s="497" t="s">
        <v>14</v>
      </c>
      <c r="E46" s="285" t="s">
        <v>372</v>
      </c>
      <c r="F46" s="497" t="s">
        <v>9</v>
      </c>
      <c r="G46" s="283">
        <f t="shared" ref="G46:R46" si="17">G49+G47</f>
        <v>31158</v>
      </c>
      <c r="H46" s="283">
        <f t="shared" si="17"/>
        <v>0</v>
      </c>
      <c r="I46" s="283">
        <f t="shared" si="17"/>
        <v>0</v>
      </c>
      <c r="J46" s="283">
        <f t="shared" si="17"/>
        <v>0</v>
      </c>
      <c r="K46" s="283">
        <f t="shared" si="17"/>
        <v>4550.6000000000004</v>
      </c>
      <c r="L46" s="283">
        <f t="shared" si="17"/>
        <v>0</v>
      </c>
      <c r="M46" s="568">
        <f>M49+M47+M84</f>
        <v>120.1</v>
      </c>
      <c r="N46" s="568">
        <f t="shared" si="17"/>
        <v>0</v>
      </c>
      <c r="O46" s="569">
        <f t="shared" si="17"/>
        <v>0</v>
      </c>
      <c r="P46" s="569">
        <f t="shared" si="17"/>
        <v>0</v>
      </c>
      <c r="Q46" s="569">
        <f t="shared" si="17"/>
        <v>0</v>
      </c>
      <c r="R46" s="569">
        <f t="shared" si="17"/>
        <v>0</v>
      </c>
      <c r="S46" s="132">
        <f t="shared" si="1"/>
        <v>35828.699999999997</v>
      </c>
    </row>
    <row r="47" spans="1:19" s="80" customFormat="1" ht="46.9" hidden="1" x14ac:dyDescent="0.3">
      <c r="A47" s="267" t="s">
        <v>1039</v>
      </c>
      <c r="B47" s="497" t="s">
        <v>22</v>
      </c>
      <c r="C47" s="496" t="s">
        <v>31</v>
      </c>
      <c r="D47" s="497" t="s">
        <v>14</v>
      </c>
      <c r="E47" s="285" t="s">
        <v>1040</v>
      </c>
      <c r="F47" s="497" t="s">
        <v>9</v>
      </c>
      <c r="G47" s="283">
        <f t="shared" ref="G47:R47" si="18">G48</f>
        <v>0</v>
      </c>
      <c r="H47" s="283">
        <f t="shared" si="18"/>
        <v>0</v>
      </c>
      <c r="I47" s="283">
        <f t="shared" si="18"/>
        <v>0</v>
      </c>
      <c r="J47" s="283">
        <f t="shared" si="18"/>
        <v>0</v>
      </c>
      <c r="K47" s="283">
        <f t="shared" si="18"/>
        <v>0</v>
      </c>
      <c r="L47" s="283">
        <f t="shared" si="18"/>
        <v>0</v>
      </c>
      <c r="M47" s="568">
        <f t="shared" si="18"/>
        <v>0</v>
      </c>
      <c r="N47" s="568">
        <f t="shared" si="18"/>
        <v>0</v>
      </c>
      <c r="O47" s="569">
        <f t="shared" si="18"/>
        <v>0</v>
      </c>
      <c r="P47" s="569">
        <f t="shared" si="18"/>
        <v>0</v>
      </c>
      <c r="Q47" s="569">
        <f t="shared" si="18"/>
        <v>0</v>
      </c>
      <c r="R47" s="569">
        <f t="shared" si="18"/>
        <v>0</v>
      </c>
      <c r="S47" s="132">
        <f t="shared" si="1"/>
        <v>0</v>
      </c>
    </row>
    <row r="48" spans="1:19" s="80" customFormat="1" ht="31.15" hidden="1" x14ac:dyDescent="0.3">
      <c r="A48" s="264" t="s">
        <v>124</v>
      </c>
      <c r="B48" s="380" t="s">
        <v>22</v>
      </c>
      <c r="C48" s="488" t="s">
        <v>31</v>
      </c>
      <c r="D48" s="380" t="s">
        <v>14</v>
      </c>
      <c r="E48" s="265" t="s">
        <v>1040</v>
      </c>
      <c r="F48" s="380" t="s">
        <v>117</v>
      </c>
      <c r="G48" s="283"/>
      <c r="H48" s="304"/>
      <c r="I48" s="283"/>
      <c r="J48" s="283"/>
      <c r="K48" s="283"/>
      <c r="L48" s="283"/>
      <c r="M48" s="568"/>
      <c r="N48" s="568"/>
      <c r="O48" s="132"/>
      <c r="P48" s="132"/>
      <c r="Q48" s="132"/>
      <c r="R48" s="132"/>
      <c r="S48" s="131">
        <f t="shared" si="1"/>
        <v>0</v>
      </c>
    </row>
    <row r="49" spans="1:20" s="80" customFormat="1" ht="47.25" x14ac:dyDescent="0.25">
      <c r="A49" s="267" t="s">
        <v>34</v>
      </c>
      <c r="B49" s="497" t="s">
        <v>22</v>
      </c>
      <c r="C49" s="496" t="s">
        <v>31</v>
      </c>
      <c r="D49" s="497" t="s">
        <v>14</v>
      </c>
      <c r="E49" s="285" t="s">
        <v>373</v>
      </c>
      <c r="F49" s="497" t="s">
        <v>9</v>
      </c>
      <c r="G49" s="283">
        <f t="shared" ref="G49:R49" si="19">G50+G51+G52</f>
        <v>31158</v>
      </c>
      <c r="H49" s="283">
        <f t="shared" si="19"/>
        <v>0</v>
      </c>
      <c r="I49" s="283">
        <f t="shared" si="19"/>
        <v>0</v>
      </c>
      <c r="J49" s="283">
        <f t="shared" si="19"/>
        <v>0</v>
      </c>
      <c r="K49" s="283">
        <f t="shared" si="19"/>
        <v>4550.6000000000004</v>
      </c>
      <c r="L49" s="283">
        <f t="shared" si="19"/>
        <v>0</v>
      </c>
      <c r="M49" s="568">
        <f t="shared" si="19"/>
        <v>0</v>
      </c>
      <c r="N49" s="568">
        <f t="shared" si="19"/>
        <v>0</v>
      </c>
      <c r="O49" s="569">
        <f t="shared" si="19"/>
        <v>0</v>
      </c>
      <c r="P49" s="569">
        <f t="shared" si="19"/>
        <v>0</v>
      </c>
      <c r="Q49" s="569">
        <f t="shared" si="19"/>
        <v>0</v>
      </c>
      <c r="R49" s="569">
        <f t="shared" si="19"/>
        <v>0</v>
      </c>
      <c r="S49" s="132">
        <f t="shared" si="1"/>
        <v>35708.6</v>
      </c>
    </row>
    <row r="50" spans="1:20" s="77" customFormat="1" ht="63" x14ac:dyDescent="0.25">
      <c r="A50" s="264" t="s">
        <v>115</v>
      </c>
      <c r="B50" s="380" t="s">
        <v>22</v>
      </c>
      <c r="C50" s="488" t="s">
        <v>31</v>
      </c>
      <c r="D50" s="380" t="s">
        <v>14</v>
      </c>
      <c r="E50" s="265" t="s">
        <v>373</v>
      </c>
      <c r="F50" s="380" t="s">
        <v>113</v>
      </c>
      <c r="G50" s="282">
        <v>30608.7</v>
      </c>
      <c r="H50" s="303"/>
      <c r="I50" s="265"/>
      <c r="J50" s="282"/>
      <c r="K50" s="418">
        <v>4550.6000000000004</v>
      </c>
      <c r="L50" s="419">
        <v>2.8</v>
      </c>
      <c r="M50" s="570">
        <v>5.2560000000000002</v>
      </c>
      <c r="N50" s="622">
        <v>5.8</v>
      </c>
      <c r="O50" s="571"/>
      <c r="P50" s="571"/>
      <c r="Q50" s="571"/>
      <c r="R50" s="571"/>
      <c r="S50" s="566">
        <f t="shared" si="1"/>
        <v>35173.15600000001</v>
      </c>
    </row>
    <row r="51" spans="1:20" s="77" customFormat="1" ht="31.5" x14ac:dyDescent="0.25">
      <c r="A51" s="264" t="s">
        <v>124</v>
      </c>
      <c r="B51" s="380" t="s">
        <v>22</v>
      </c>
      <c r="C51" s="488" t="s">
        <v>31</v>
      </c>
      <c r="D51" s="380" t="s">
        <v>14</v>
      </c>
      <c r="E51" s="265" t="s">
        <v>373</v>
      </c>
      <c r="F51" s="380" t="s">
        <v>117</v>
      </c>
      <c r="G51" s="282">
        <v>549.29999999999995</v>
      </c>
      <c r="H51" s="303"/>
      <c r="I51" s="265"/>
      <c r="J51" s="265"/>
      <c r="K51" s="265"/>
      <c r="L51" s="419">
        <v>-2.8</v>
      </c>
      <c r="M51" s="570">
        <v>-5.2560000000000002</v>
      </c>
      <c r="N51" s="622">
        <v>-5.8</v>
      </c>
      <c r="O51" s="571"/>
      <c r="P51" s="571"/>
      <c r="Q51" s="571"/>
      <c r="R51" s="571"/>
      <c r="S51" s="566">
        <f t="shared" si="1"/>
        <v>535.44400000000007</v>
      </c>
    </row>
    <row r="52" spans="1:20" s="77" customFormat="1" ht="15.6" hidden="1" x14ac:dyDescent="0.3">
      <c r="A52" s="264" t="s">
        <v>125</v>
      </c>
      <c r="B52" s="380" t="s">
        <v>22</v>
      </c>
      <c r="C52" s="488" t="s">
        <v>31</v>
      </c>
      <c r="D52" s="380" t="s">
        <v>14</v>
      </c>
      <c r="E52" s="265" t="s">
        <v>373</v>
      </c>
      <c r="F52" s="380" t="s">
        <v>118</v>
      </c>
      <c r="G52" s="282"/>
      <c r="H52" s="303"/>
      <c r="I52" s="265"/>
      <c r="J52" s="265"/>
      <c r="K52" s="265"/>
      <c r="L52" s="265"/>
      <c r="M52" s="570"/>
      <c r="N52" s="570"/>
      <c r="O52" s="571"/>
      <c r="P52" s="571"/>
      <c r="Q52" s="571"/>
      <c r="R52" s="571"/>
      <c r="S52" s="131">
        <f t="shared" si="1"/>
        <v>0</v>
      </c>
    </row>
    <row r="53" spans="1:20" s="80" customFormat="1" x14ac:dyDescent="0.25">
      <c r="A53" s="267" t="s">
        <v>35</v>
      </c>
      <c r="B53" s="497" t="s">
        <v>22</v>
      </c>
      <c r="C53" s="496" t="s">
        <v>31</v>
      </c>
      <c r="D53" s="497" t="s">
        <v>36</v>
      </c>
      <c r="E53" s="285" t="s">
        <v>365</v>
      </c>
      <c r="F53" s="497" t="s">
        <v>9</v>
      </c>
      <c r="G53" s="283">
        <f t="shared" ref="G53:R53" si="20">G54+G115</f>
        <v>190613.39799999996</v>
      </c>
      <c r="H53" s="283">
        <f t="shared" si="20"/>
        <v>77001.601999999999</v>
      </c>
      <c r="I53" s="283">
        <f t="shared" si="20"/>
        <v>-482.89499999999998</v>
      </c>
      <c r="J53" s="283">
        <f t="shared" si="20"/>
        <v>367.5</v>
      </c>
      <c r="K53" s="283">
        <f t="shared" si="20"/>
        <v>27250.38</v>
      </c>
      <c r="L53" s="283">
        <f t="shared" si="20"/>
        <v>461.3</v>
      </c>
      <c r="M53" s="568">
        <f t="shared" si="20"/>
        <v>194.28400000000002</v>
      </c>
      <c r="N53" s="568">
        <f t="shared" si="20"/>
        <v>1083.1299999999999</v>
      </c>
      <c r="O53" s="569">
        <f t="shared" si="20"/>
        <v>0</v>
      </c>
      <c r="P53" s="569">
        <f t="shared" si="20"/>
        <v>0</v>
      </c>
      <c r="Q53" s="569">
        <f t="shared" si="20"/>
        <v>0</v>
      </c>
      <c r="R53" s="569">
        <f t="shared" si="20"/>
        <v>0</v>
      </c>
      <c r="S53" s="132">
        <f t="shared" si="1"/>
        <v>296488.69899999991</v>
      </c>
    </row>
    <row r="54" spans="1:20" s="80" customFormat="1" ht="31.5" x14ac:dyDescent="0.25">
      <c r="A54" s="267" t="s">
        <v>783</v>
      </c>
      <c r="B54" s="497" t="s">
        <v>22</v>
      </c>
      <c r="C54" s="496" t="s">
        <v>31</v>
      </c>
      <c r="D54" s="497" t="s">
        <v>36</v>
      </c>
      <c r="E54" s="285" t="s">
        <v>366</v>
      </c>
      <c r="F54" s="497" t="s">
        <v>9</v>
      </c>
      <c r="G54" s="283">
        <f t="shared" ref="G54:R54" si="21">G55+G73+G64+G108+G111+G114+G86+G104+G106</f>
        <v>190613.39799999996</v>
      </c>
      <c r="H54" s="283">
        <f t="shared" si="21"/>
        <v>77001.601999999999</v>
      </c>
      <c r="I54" s="283">
        <f t="shared" si="21"/>
        <v>-482.89499999999998</v>
      </c>
      <c r="J54" s="283">
        <f t="shared" si="21"/>
        <v>367.5</v>
      </c>
      <c r="K54" s="283">
        <f t="shared" si="21"/>
        <v>27250.38</v>
      </c>
      <c r="L54" s="283">
        <f t="shared" si="21"/>
        <v>461.3</v>
      </c>
      <c r="M54" s="568">
        <f>M55+M73+M64+M108+M111+M114+M86+M104+M106+M67</f>
        <v>194.28400000000002</v>
      </c>
      <c r="N54" s="568">
        <f t="shared" si="21"/>
        <v>1083.1299999999999</v>
      </c>
      <c r="O54" s="132">
        <f t="shared" si="21"/>
        <v>0</v>
      </c>
      <c r="P54" s="132">
        <f t="shared" si="21"/>
        <v>0</v>
      </c>
      <c r="Q54" s="132">
        <f t="shared" si="21"/>
        <v>0</v>
      </c>
      <c r="R54" s="132">
        <f t="shared" si="21"/>
        <v>0</v>
      </c>
      <c r="S54" s="132">
        <f t="shared" si="1"/>
        <v>296488.69899999991</v>
      </c>
    </row>
    <row r="55" spans="1:20" s="80" customFormat="1" ht="31.5" x14ac:dyDescent="0.25">
      <c r="A55" s="267" t="s">
        <v>566</v>
      </c>
      <c r="B55" s="497" t="s">
        <v>22</v>
      </c>
      <c r="C55" s="496" t="s">
        <v>31</v>
      </c>
      <c r="D55" s="497" t="s">
        <v>36</v>
      </c>
      <c r="E55" s="285" t="s">
        <v>375</v>
      </c>
      <c r="F55" s="497" t="s">
        <v>9</v>
      </c>
      <c r="G55" s="283">
        <f t="shared" ref="G55:R55" si="22">G56+G60</f>
        <v>0</v>
      </c>
      <c r="H55" s="283">
        <f t="shared" si="22"/>
        <v>77001.601999999999</v>
      </c>
      <c r="I55" s="283">
        <f t="shared" si="22"/>
        <v>-482.19499999999999</v>
      </c>
      <c r="J55" s="283">
        <f t="shared" si="22"/>
        <v>367.5</v>
      </c>
      <c r="K55" s="283">
        <f t="shared" si="22"/>
        <v>664.18000000000006</v>
      </c>
      <c r="L55" s="283">
        <f t="shared" si="22"/>
        <v>461.3</v>
      </c>
      <c r="M55" s="568">
        <f t="shared" si="22"/>
        <v>241.184</v>
      </c>
      <c r="N55" s="568">
        <f t="shared" si="22"/>
        <v>1083.1299999999999</v>
      </c>
      <c r="O55" s="569">
        <f t="shared" si="22"/>
        <v>0</v>
      </c>
      <c r="P55" s="569">
        <f t="shared" si="22"/>
        <v>0</v>
      </c>
      <c r="Q55" s="569">
        <f t="shared" si="22"/>
        <v>0</v>
      </c>
      <c r="R55" s="569">
        <f t="shared" si="22"/>
        <v>0</v>
      </c>
      <c r="S55" s="132">
        <f t="shared" si="1"/>
        <v>79336.700999999986</v>
      </c>
    </row>
    <row r="56" spans="1:20" s="80" customFormat="1" x14ac:dyDescent="0.25">
      <c r="A56" s="267" t="s">
        <v>37</v>
      </c>
      <c r="B56" s="497" t="s">
        <v>22</v>
      </c>
      <c r="C56" s="496" t="s">
        <v>31</v>
      </c>
      <c r="D56" s="497" t="s">
        <v>36</v>
      </c>
      <c r="E56" s="285" t="s">
        <v>374</v>
      </c>
      <c r="F56" s="497" t="s">
        <v>9</v>
      </c>
      <c r="G56" s="283">
        <f t="shared" ref="G56:R56" si="23">G57+G58+G59</f>
        <v>0</v>
      </c>
      <c r="H56" s="283">
        <f t="shared" si="23"/>
        <v>41101.601999999999</v>
      </c>
      <c r="I56" s="283">
        <f t="shared" si="23"/>
        <v>-482.19499999999999</v>
      </c>
      <c r="J56" s="283">
        <f t="shared" si="23"/>
        <v>367.5</v>
      </c>
      <c r="K56" s="283">
        <f t="shared" si="23"/>
        <v>-0.02</v>
      </c>
      <c r="L56" s="283">
        <f t="shared" si="23"/>
        <v>461.3</v>
      </c>
      <c r="M56" s="568">
        <f t="shared" si="23"/>
        <v>237.9</v>
      </c>
      <c r="N56" s="568">
        <f t="shared" si="23"/>
        <v>1185.1299999999999</v>
      </c>
      <c r="O56" s="569">
        <f t="shared" si="23"/>
        <v>0</v>
      </c>
      <c r="P56" s="569">
        <f t="shared" si="23"/>
        <v>0</v>
      </c>
      <c r="Q56" s="569">
        <f t="shared" si="23"/>
        <v>0</v>
      </c>
      <c r="R56" s="569">
        <f t="shared" si="23"/>
        <v>0</v>
      </c>
      <c r="S56" s="132">
        <f t="shared" si="1"/>
        <v>42871.217000000004</v>
      </c>
    </row>
    <row r="57" spans="1:20" s="77" customFormat="1" ht="63" x14ac:dyDescent="0.25">
      <c r="A57" s="264" t="s">
        <v>115</v>
      </c>
      <c r="B57" s="380" t="s">
        <v>22</v>
      </c>
      <c r="C57" s="488" t="s">
        <v>31</v>
      </c>
      <c r="D57" s="380" t="s">
        <v>36</v>
      </c>
      <c r="E57" s="265" t="s">
        <v>374</v>
      </c>
      <c r="F57" s="380" t="s">
        <v>113</v>
      </c>
      <c r="G57" s="282"/>
      <c r="H57" s="303">
        <f>12730-10000</f>
        <v>2730</v>
      </c>
      <c r="I57" s="265"/>
      <c r="J57" s="265"/>
      <c r="K57" s="265"/>
      <c r="L57" s="265"/>
      <c r="M57" s="570"/>
      <c r="N57" s="570"/>
      <c r="O57" s="571"/>
      <c r="P57" s="571"/>
      <c r="Q57" s="571"/>
      <c r="R57" s="571"/>
      <c r="S57" s="566">
        <f t="shared" si="1"/>
        <v>2730</v>
      </c>
    </row>
    <row r="58" spans="1:20" s="77" customFormat="1" ht="31.5" x14ac:dyDescent="0.25">
      <c r="A58" s="264" t="s">
        <v>124</v>
      </c>
      <c r="B58" s="380" t="s">
        <v>22</v>
      </c>
      <c r="C58" s="488" t="s">
        <v>31</v>
      </c>
      <c r="D58" s="380" t="s">
        <v>36</v>
      </c>
      <c r="E58" s="265" t="s">
        <v>374</v>
      </c>
      <c r="F58" s="380" t="s">
        <v>117</v>
      </c>
      <c r="G58" s="282"/>
      <c r="H58" s="360">
        <f>10240+52343.1-25000-94.8-19.098</f>
        <v>37469.201999999997</v>
      </c>
      <c r="I58" s="420">
        <f>-411.72283-70.52717+0.105+0.7-1.5</f>
        <v>-482.94499999999999</v>
      </c>
      <c r="J58" s="303">
        <f>26.2+61.3+280</f>
        <v>367.5</v>
      </c>
      <c r="K58" s="265">
        <v>-0.02</v>
      </c>
      <c r="L58" s="419">
        <f>482.1-20.8</f>
        <v>461.3</v>
      </c>
      <c r="M58" s="570">
        <f>24.88291+152</f>
        <v>176.88291000000001</v>
      </c>
      <c r="N58" s="622">
        <f>-136.8+1146.37+165</f>
        <v>1174.57</v>
      </c>
      <c r="O58" s="571"/>
      <c r="P58" s="571"/>
      <c r="Q58" s="571"/>
      <c r="R58" s="571"/>
      <c r="S58" s="566">
        <f t="shared" si="1"/>
        <v>39166.489910000004</v>
      </c>
      <c r="T58" s="417">
        <v>37353737</v>
      </c>
    </row>
    <row r="59" spans="1:20" s="77" customFormat="1" x14ac:dyDescent="0.25">
      <c r="A59" s="264" t="s">
        <v>116</v>
      </c>
      <c r="B59" s="380" t="s">
        <v>22</v>
      </c>
      <c r="C59" s="488" t="s">
        <v>31</v>
      </c>
      <c r="D59" s="380" t="s">
        <v>36</v>
      </c>
      <c r="E59" s="265" t="s">
        <v>374</v>
      </c>
      <c r="F59" s="380" t="s">
        <v>114</v>
      </c>
      <c r="G59" s="282"/>
      <c r="H59" s="303">
        <f>1802.4-900</f>
        <v>902.40000000000009</v>
      </c>
      <c r="I59" s="265">
        <f>-0.75+1.5</f>
        <v>0.75</v>
      </c>
      <c r="J59" s="265"/>
      <c r="K59" s="265"/>
      <c r="L59" s="265"/>
      <c r="M59" s="570">
        <f>5.01709+56</f>
        <v>61.017089999999996</v>
      </c>
      <c r="N59" s="622">
        <f>8.06+2.5</f>
        <v>10.56</v>
      </c>
      <c r="O59" s="571"/>
      <c r="P59" s="571"/>
      <c r="Q59" s="571"/>
      <c r="R59" s="571"/>
      <c r="S59" s="566">
        <f t="shared" si="1"/>
        <v>974.72709000000009</v>
      </c>
      <c r="T59" s="417">
        <v>903150</v>
      </c>
    </row>
    <row r="60" spans="1:20" s="80" customFormat="1" x14ac:dyDescent="0.25">
      <c r="A60" s="267" t="s">
        <v>37</v>
      </c>
      <c r="B60" s="497" t="s">
        <v>22</v>
      </c>
      <c r="C60" s="496" t="s">
        <v>31</v>
      </c>
      <c r="D60" s="497" t="s">
        <v>36</v>
      </c>
      <c r="E60" s="285" t="s">
        <v>507</v>
      </c>
      <c r="F60" s="497" t="s">
        <v>9</v>
      </c>
      <c r="G60" s="283">
        <f t="shared" ref="G60:R60" si="24">G61+G62+G63</f>
        <v>0</v>
      </c>
      <c r="H60" s="283">
        <f t="shared" si="24"/>
        <v>35900</v>
      </c>
      <c r="I60" s="283">
        <f t="shared" si="24"/>
        <v>0</v>
      </c>
      <c r="J60" s="283">
        <f t="shared" si="24"/>
        <v>0</v>
      </c>
      <c r="K60" s="283">
        <f t="shared" si="24"/>
        <v>664.2</v>
      </c>
      <c r="L60" s="283">
        <f t="shared" si="24"/>
        <v>0</v>
      </c>
      <c r="M60" s="568">
        <f t="shared" si="24"/>
        <v>3.2839999999999998</v>
      </c>
      <c r="N60" s="568">
        <f t="shared" si="24"/>
        <v>-102</v>
      </c>
      <c r="O60" s="569">
        <f t="shared" si="24"/>
        <v>0</v>
      </c>
      <c r="P60" s="569">
        <f t="shared" si="24"/>
        <v>0</v>
      </c>
      <c r="Q60" s="569">
        <f t="shared" si="24"/>
        <v>0</v>
      </c>
      <c r="R60" s="569">
        <f t="shared" si="24"/>
        <v>0</v>
      </c>
      <c r="S60" s="132">
        <f t="shared" si="1"/>
        <v>36465.483999999997</v>
      </c>
    </row>
    <row r="61" spans="1:20" s="77" customFormat="1" ht="63" x14ac:dyDescent="0.25">
      <c r="A61" s="264" t="s">
        <v>115</v>
      </c>
      <c r="B61" s="380" t="s">
        <v>22</v>
      </c>
      <c r="C61" s="488" t="s">
        <v>31</v>
      </c>
      <c r="D61" s="380" t="s">
        <v>36</v>
      </c>
      <c r="E61" s="265" t="s">
        <v>507</v>
      </c>
      <c r="F61" s="380" t="s">
        <v>113</v>
      </c>
      <c r="G61" s="282"/>
      <c r="H61" s="303">
        <v>10000</v>
      </c>
      <c r="I61" s="265"/>
      <c r="J61" s="282"/>
      <c r="K61" s="419">
        <v>664.2</v>
      </c>
      <c r="L61" s="265"/>
      <c r="M61" s="570"/>
      <c r="N61" s="570"/>
      <c r="O61" s="571"/>
      <c r="P61" s="571"/>
      <c r="Q61" s="571"/>
      <c r="R61" s="571"/>
      <c r="S61" s="566">
        <f t="shared" si="1"/>
        <v>10664.2</v>
      </c>
    </row>
    <row r="62" spans="1:20" s="77" customFormat="1" ht="31.5" x14ac:dyDescent="0.25">
      <c r="A62" s="264" t="s">
        <v>124</v>
      </c>
      <c r="B62" s="380" t="s">
        <v>22</v>
      </c>
      <c r="C62" s="488" t="s">
        <v>31</v>
      </c>
      <c r="D62" s="380" t="s">
        <v>36</v>
      </c>
      <c r="E62" s="265" t="s">
        <v>507</v>
      </c>
      <c r="F62" s="380" t="s">
        <v>117</v>
      </c>
      <c r="G62" s="282"/>
      <c r="H62" s="303">
        <v>25000</v>
      </c>
      <c r="I62" s="265"/>
      <c r="J62" s="265"/>
      <c r="K62" s="265"/>
      <c r="L62" s="265"/>
      <c r="M62" s="570"/>
      <c r="N62" s="622">
        <v>-102</v>
      </c>
      <c r="O62" s="571"/>
      <c r="P62" s="571"/>
      <c r="Q62" s="571"/>
      <c r="R62" s="571"/>
      <c r="S62" s="566">
        <f t="shared" si="1"/>
        <v>24898</v>
      </c>
    </row>
    <row r="63" spans="1:20" s="77" customFormat="1" x14ac:dyDescent="0.25">
      <c r="A63" s="264" t="s">
        <v>116</v>
      </c>
      <c r="B63" s="380" t="s">
        <v>22</v>
      </c>
      <c r="C63" s="488" t="s">
        <v>31</v>
      </c>
      <c r="D63" s="380" t="s">
        <v>36</v>
      </c>
      <c r="E63" s="265" t="s">
        <v>507</v>
      </c>
      <c r="F63" s="380" t="s">
        <v>114</v>
      </c>
      <c r="G63" s="282"/>
      <c r="H63" s="303">
        <v>900</v>
      </c>
      <c r="I63" s="265"/>
      <c r="J63" s="265"/>
      <c r="K63" s="265"/>
      <c r="L63" s="265"/>
      <c r="M63" s="570">
        <v>3.2839999999999998</v>
      </c>
      <c r="N63" s="570"/>
      <c r="O63" s="571"/>
      <c r="P63" s="571"/>
      <c r="Q63" s="571"/>
      <c r="R63" s="571"/>
      <c r="S63" s="566">
        <f t="shared" si="1"/>
        <v>903.28399999999999</v>
      </c>
    </row>
    <row r="64" spans="1:20" s="80" customFormat="1" ht="47.25" x14ac:dyDescent="0.25">
      <c r="A64" s="267" t="s">
        <v>41</v>
      </c>
      <c r="B64" s="497" t="s">
        <v>22</v>
      </c>
      <c r="C64" s="496" t="s">
        <v>31</v>
      </c>
      <c r="D64" s="497" t="s">
        <v>36</v>
      </c>
      <c r="E64" s="285" t="s">
        <v>383</v>
      </c>
      <c r="F64" s="497" t="s">
        <v>9</v>
      </c>
      <c r="G64" s="283">
        <f t="shared" ref="G64:R64" si="25">G69+G71</f>
        <v>9382.4</v>
      </c>
      <c r="H64" s="283">
        <f t="shared" si="25"/>
        <v>0</v>
      </c>
      <c r="I64" s="283">
        <f t="shared" si="25"/>
        <v>0</v>
      </c>
      <c r="J64" s="283">
        <f t="shared" si="25"/>
        <v>0</v>
      </c>
      <c r="K64" s="283">
        <f t="shared" si="25"/>
        <v>10285.200000000001</v>
      </c>
      <c r="L64" s="283">
        <f t="shared" si="25"/>
        <v>0</v>
      </c>
      <c r="M64" s="568">
        <f>M69+M71+M65</f>
        <v>0</v>
      </c>
      <c r="N64" s="568">
        <f t="shared" si="25"/>
        <v>0</v>
      </c>
      <c r="O64" s="132">
        <f t="shared" si="25"/>
        <v>0</v>
      </c>
      <c r="P64" s="132">
        <f t="shared" si="25"/>
        <v>0</v>
      </c>
      <c r="Q64" s="132">
        <f t="shared" si="25"/>
        <v>0</v>
      </c>
      <c r="R64" s="132">
        <f t="shared" si="25"/>
        <v>0</v>
      </c>
      <c r="S64" s="132">
        <f t="shared" si="1"/>
        <v>19667.599999999999</v>
      </c>
    </row>
    <row r="65" spans="1:21" s="80" customFormat="1" ht="31.5" x14ac:dyDescent="0.25">
      <c r="A65" s="267" t="s">
        <v>1238</v>
      </c>
      <c r="B65" s="605" t="s">
        <v>22</v>
      </c>
      <c r="C65" s="496" t="s">
        <v>31</v>
      </c>
      <c r="D65" s="605" t="s">
        <v>36</v>
      </c>
      <c r="E65" s="606" t="s">
        <v>1236</v>
      </c>
      <c r="F65" s="606" t="s">
        <v>9</v>
      </c>
      <c r="G65" s="283"/>
      <c r="H65" s="283"/>
      <c r="I65" s="283"/>
      <c r="J65" s="283"/>
      <c r="K65" s="283"/>
      <c r="L65" s="283"/>
      <c r="M65" s="568">
        <f>M66</f>
        <v>2959.2</v>
      </c>
      <c r="N65" s="568"/>
      <c r="O65" s="132"/>
      <c r="P65" s="132"/>
      <c r="Q65" s="132"/>
      <c r="R65" s="132"/>
      <c r="S65" s="132">
        <f t="shared" si="1"/>
        <v>2959.2</v>
      </c>
    </row>
    <row r="66" spans="1:21" s="77" customFormat="1" ht="31.5" x14ac:dyDescent="0.25">
      <c r="A66" s="264" t="s">
        <v>124</v>
      </c>
      <c r="B66" s="380" t="s">
        <v>22</v>
      </c>
      <c r="C66" s="488" t="s">
        <v>31</v>
      </c>
      <c r="D66" s="380" t="s">
        <v>36</v>
      </c>
      <c r="E66" s="75" t="s">
        <v>1236</v>
      </c>
      <c r="F66" s="75" t="s">
        <v>117</v>
      </c>
      <c r="G66" s="283"/>
      <c r="H66" s="283"/>
      <c r="I66" s="283"/>
      <c r="J66" s="283"/>
      <c r="K66" s="283"/>
      <c r="L66" s="283"/>
      <c r="M66" s="566">
        <f>2959.2</f>
        <v>2959.2</v>
      </c>
      <c r="N66" s="566"/>
      <c r="O66" s="131"/>
      <c r="P66" s="131"/>
      <c r="Q66" s="131"/>
      <c r="R66" s="131"/>
      <c r="S66" s="566">
        <f t="shared" si="1"/>
        <v>2959.2</v>
      </c>
      <c r="T66" s="80"/>
      <c r="U66" s="80"/>
    </row>
    <row r="67" spans="1:21" s="80" customFormat="1" ht="31.5" x14ac:dyDescent="0.25">
      <c r="A67" s="267" t="s">
        <v>1238</v>
      </c>
      <c r="B67" s="605" t="s">
        <v>22</v>
      </c>
      <c r="C67" s="496" t="s">
        <v>31</v>
      </c>
      <c r="D67" s="605" t="s">
        <v>36</v>
      </c>
      <c r="E67" s="606" t="s">
        <v>1237</v>
      </c>
      <c r="F67" s="606" t="s">
        <v>9</v>
      </c>
      <c r="G67" s="283"/>
      <c r="H67" s="283"/>
      <c r="I67" s="283"/>
      <c r="J67" s="283"/>
      <c r="K67" s="283"/>
      <c r="L67" s="283"/>
      <c r="M67" s="568">
        <f>M68</f>
        <v>29.9</v>
      </c>
      <c r="N67" s="568"/>
      <c r="O67" s="132"/>
      <c r="P67" s="132"/>
      <c r="Q67" s="132"/>
      <c r="R67" s="132"/>
      <c r="S67" s="132">
        <f t="shared" si="1"/>
        <v>29.9</v>
      </c>
    </row>
    <row r="68" spans="1:21" s="77" customFormat="1" ht="31.5" x14ac:dyDescent="0.25">
      <c r="A68" s="264" t="s">
        <v>124</v>
      </c>
      <c r="B68" s="380" t="s">
        <v>22</v>
      </c>
      <c r="C68" s="488" t="s">
        <v>31</v>
      </c>
      <c r="D68" s="380" t="s">
        <v>36</v>
      </c>
      <c r="E68" s="75" t="s">
        <v>1237</v>
      </c>
      <c r="F68" s="75" t="s">
        <v>117</v>
      </c>
      <c r="G68" s="283"/>
      <c r="H68" s="283"/>
      <c r="I68" s="283"/>
      <c r="J68" s="283"/>
      <c r="K68" s="283"/>
      <c r="L68" s="283"/>
      <c r="M68" s="566">
        <v>29.9</v>
      </c>
      <c r="N68" s="566"/>
      <c r="O68" s="131"/>
      <c r="P68" s="131"/>
      <c r="Q68" s="131"/>
      <c r="R68" s="131"/>
      <c r="S68" s="566">
        <f t="shared" si="1"/>
        <v>29.9</v>
      </c>
      <c r="T68" s="80"/>
      <c r="U68" s="80"/>
    </row>
    <row r="69" spans="1:21" s="80" customFormat="1" ht="63" x14ac:dyDescent="0.25">
      <c r="A69" s="267" t="s">
        <v>808</v>
      </c>
      <c r="B69" s="497" t="s">
        <v>22</v>
      </c>
      <c r="C69" s="496" t="s">
        <v>31</v>
      </c>
      <c r="D69" s="497" t="s">
        <v>36</v>
      </c>
      <c r="E69" s="285" t="s">
        <v>807</v>
      </c>
      <c r="F69" s="497" t="s">
        <v>9</v>
      </c>
      <c r="G69" s="283">
        <f t="shared" ref="G69:R69" si="26">G70</f>
        <v>9382.4</v>
      </c>
      <c r="H69" s="283">
        <f t="shared" si="26"/>
        <v>0</v>
      </c>
      <c r="I69" s="283">
        <f t="shared" si="26"/>
        <v>0</v>
      </c>
      <c r="J69" s="283">
        <f t="shared" si="26"/>
        <v>0</v>
      </c>
      <c r="K69" s="283">
        <f t="shared" si="26"/>
        <v>3585.2</v>
      </c>
      <c r="L69" s="283">
        <f t="shared" si="26"/>
        <v>0</v>
      </c>
      <c r="M69" s="568">
        <f t="shared" si="26"/>
        <v>-2247.1999999999998</v>
      </c>
      <c r="N69" s="568">
        <f t="shared" si="26"/>
        <v>0</v>
      </c>
      <c r="O69" s="569">
        <f t="shared" si="26"/>
        <v>0</v>
      </c>
      <c r="P69" s="569">
        <f t="shared" si="26"/>
        <v>0</v>
      </c>
      <c r="Q69" s="569">
        <f t="shared" si="26"/>
        <v>0</v>
      </c>
      <c r="R69" s="569">
        <f t="shared" si="26"/>
        <v>0</v>
      </c>
      <c r="S69" s="132">
        <f t="shared" si="1"/>
        <v>10720.399999999998</v>
      </c>
    </row>
    <row r="70" spans="1:21" s="77" customFormat="1" ht="31.5" x14ac:dyDescent="0.25">
      <c r="A70" s="264" t="s">
        <v>124</v>
      </c>
      <c r="B70" s="380" t="s">
        <v>22</v>
      </c>
      <c r="C70" s="488" t="s">
        <v>31</v>
      </c>
      <c r="D70" s="380" t="s">
        <v>36</v>
      </c>
      <c r="E70" s="265" t="s">
        <v>807</v>
      </c>
      <c r="F70" s="380" t="s">
        <v>117</v>
      </c>
      <c r="G70" s="360">
        <f>9382.4</f>
        <v>9382.4</v>
      </c>
      <c r="H70" s="303"/>
      <c r="I70" s="265"/>
      <c r="J70" s="282"/>
      <c r="K70" s="418">
        <v>3585.2</v>
      </c>
      <c r="L70" s="265"/>
      <c r="M70" s="570">
        <v>-2247.1999999999998</v>
      </c>
      <c r="N70" s="570"/>
      <c r="O70" s="571"/>
      <c r="P70" s="571"/>
      <c r="Q70" s="571"/>
      <c r="R70" s="571"/>
      <c r="S70" s="566">
        <f t="shared" si="1"/>
        <v>10720.399999999998</v>
      </c>
    </row>
    <row r="71" spans="1:21" s="80" customFormat="1" ht="31.5" x14ac:dyDescent="0.25">
      <c r="A71" s="267" t="s">
        <v>1162</v>
      </c>
      <c r="B71" s="497" t="s">
        <v>22</v>
      </c>
      <c r="C71" s="496" t="s">
        <v>31</v>
      </c>
      <c r="D71" s="497" t="s">
        <v>36</v>
      </c>
      <c r="E71" s="285" t="s">
        <v>1164</v>
      </c>
      <c r="F71" s="497" t="s">
        <v>9</v>
      </c>
      <c r="G71" s="390">
        <f t="shared" ref="G71:R71" si="27">G72</f>
        <v>0</v>
      </c>
      <c r="H71" s="390">
        <f t="shared" si="27"/>
        <v>0</v>
      </c>
      <c r="I71" s="390">
        <f t="shared" si="27"/>
        <v>0</v>
      </c>
      <c r="J71" s="390">
        <f t="shared" si="27"/>
        <v>0</v>
      </c>
      <c r="K71" s="390">
        <f t="shared" si="27"/>
        <v>6700</v>
      </c>
      <c r="L71" s="283">
        <f t="shared" si="27"/>
        <v>0</v>
      </c>
      <c r="M71" s="568">
        <f t="shared" si="27"/>
        <v>-712</v>
      </c>
      <c r="N71" s="568">
        <f t="shared" si="27"/>
        <v>0</v>
      </c>
      <c r="O71" s="572">
        <f t="shared" si="27"/>
        <v>0</v>
      </c>
      <c r="P71" s="572">
        <f t="shared" si="27"/>
        <v>0</v>
      </c>
      <c r="Q71" s="572">
        <f t="shared" si="27"/>
        <v>0</v>
      </c>
      <c r="R71" s="572">
        <f t="shared" si="27"/>
        <v>0</v>
      </c>
      <c r="S71" s="132">
        <f t="shared" si="1"/>
        <v>5988</v>
      </c>
    </row>
    <row r="72" spans="1:21" s="77" customFormat="1" ht="31.5" x14ac:dyDescent="0.25">
      <c r="A72" s="264" t="s">
        <v>124</v>
      </c>
      <c r="B72" s="380" t="s">
        <v>22</v>
      </c>
      <c r="C72" s="488" t="s">
        <v>31</v>
      </c>
      <c r="D72" s="380" t="s">
        <v>36</v>
      </c>
      <c r="E72" s="265" t="s">
        <v>1164</v>
      </c>
      <c r="F72" s="380" t="s">
        <v>117</v>
      </c>
      <c r="G72" s="360"/>
      <c r="H72" s="303"/>
      <c r="I72" s="265"/>
      <c r="J72" s="282"/>
      <c r="K72" s="418">
        <v>6700</v>
      </c>
      <c r="L72" s="265"/>
      <c r="M72" s="570">
        <v>-712</v>
      </c>
      <c r="N72" s="570"/>
      <c r="O72" s="571"/>
      <c r="P72" s="571"/>
      <c r="Q72" s="571"/>
      <c r="R72" s="571"/>
      <c r="S72" s="566">
        <f t="shared" si="1"/>
        <v>5988</v>
      </c>
    </row>
    <row r="73" spans="1:21" s="80" customFormat="1" x14ac:dyDescent="0.25">
      <c r="A73" s="267" t="s">
        <v>39</v>
      </c>
      <c r="B73" s="497" t="s">
        <v>22</v>
      </c>
      <c r="C73" s="496" t="s">
        <v>31</v>
      </c>
      <c r="D73" s="497" t="s">
        <v>36</v>
      </c>
      <c r="E73" s="285" t="s">
        <v>372</v>
      </c>
      <c r="F73" s="497" t="s">
        <v>9</v>
      </c>
      <c r="G73" s="283">
        <f t="shared" ref="G73:R73" si="28">G74+G78+G80+G82</f>
        <v>153987.9</v>
      </c>
      <c r="H73" s="283">
        <f t="shared" si="28"/>
        <v>0</v>
      </c>
      <c r="I73" s="283">
        <f t="shared" si="28"/>
        <v>0</v>
      </c>
      <c r="J73" s="283">
        <f t="shared" si="28"/>
        <v>0</v>
      </c>
      <c r="K73" s="283">
        <f t="shared" si="28"/>
        <v>16197</v>
      </c>
      <c r="L73" s="283">
        <f t="shared" si="28"/>
        <v>0</v>
      </c>
      <c r="M73" s="568">
        <f t="shared" si="28"/>
        <v>-46.9</v>
      </c>
      <c r="N73" s="568">
        <f t="shared" si="28"/>
        <v>0</v>
      </c>
      <c r="O73" s="132">
        <f t="shared" si="28"/>
        <v>0</v>
      </c>
      <c r="P73" s="132">
        <f t="shared" si="28"/>
        <v>0</v>
      </c>
      <c r="Q73" s="132">
        <f t="shared" si="28"/>
        <v>0</v>
      </c>
      <c r="R73" s="132">
        <f t="shared" si="28"/>
        <v>0</v>
      </c>
      <c r="S73" s="132">
        <f t="shared" si="1"/>
        <v>170138</v>
      </c>
    </row>
    <row r="74" spans="1:21" s="80" customFormat="1" ht="63" x14ac:dyDescent="0.25">
      <c r="A74" s="267" t="s">
        <v>206</v>
      </c>
      <c r="B74" s="497" t="s">
        <v>22</v>
      </c>
      <c r="C74" s="496" t="s">
        <v>31</v>
      </c>
      <c r="D74" s="497" t="s">
        <v>36</v>
      </c>
      <c r="E74" s="285" t="s">
        <v>379</v>
      </c>
      <c r="F74" s="497" t="s">
        <v>9</v>
      </c>
      <c r="G74" s="283">
        <f t="shared" ref="G74:R74" si="29">G75+G76+G77</f>
        <v>153941</v>
      </c>
      <c r="H74" s="283">
        <f t="shared" si="29"/>
        <v>0</v>
      </c>
      <c r="I74" s="283">
        <f t="shared" si="29"/>
        <v>0</v>
      </c>
      <c r="J74" s="283">
        <f t="shared" si="29"/>
        <v>0</v>
      </c>
      <c r="K74" s="283">
        <f t="shared" si="29"/>
        <v>16197</v>
      </c>
      <c r="L74" s="283">
        <f t="shared" si="29"/>
        <v>0</v>
      </c>
      <c r="M74" s="568">
        <f>M75+M76+M77</f>
        <v>0</v>
      </c>
      <c r="N74" s="568">
        <f t="shared" si="29"/>
        <v>0</v>
      </c>
      <c r="O74" s="569">
        <f t="shared" si="29"/>
        <v>0</v>
      </c>
      <c r="P74" s="569">
        <f t="shared" si="29"/>
        <v>0</v>
      </c>
      <c r="Q74" s="569">
        <f t="shared" si="29"/>
        <v>0</v>
      </c>
      <c r="R74" s="569">
        <f t="shared" si="29"/>
        <v>0</v>
      </c>
      <c r="S74" s="132">
        <f t="shared" si="1"/>
        <v>170138</v>
      </c>
    </row>
    <row r="75" spans="1:21" s="77" customFormat="1" ht="63" x14ac:dyDescent="0.25">
      <c r="A75" s="264" t="s">
        <v>115</v>
      </c>
      <c r="B75" s="380" t="s">
        <v>22</v>
      </c>
      <c r="C75" s="488" t="s">
        <v>31</v>
      </c>
      <c r="D75" s="380" t="s">
        <v>36</v>
      </c>
      <c r="E75" s="265" t="s">
        <v>379</v>
      </c>
      <c r="F75" s="380" t="s">
        <v>113</v>
      </c>
      <c r="G75" s="282">
        <v>151716</v>
      </c>
      <c r="H75" s="303"/>
      <c r="I75" s="265">
        <v>6</v>
      </c>
      <c r="J75" s="265"/>
      <c r="K75" s="418">
        <f>16197+20</f>
        <v>16217</v>
      </c>
      <c r="L75" s="419">
        <v>7</v>
      </c>
      <c r="M75" s="570">
        <v>-2.17109</v>
      </c>
      <c r="N75" s="570"/>
      <c r="O75" s="571"/>
      <c r="P75" s="571"/>
      <c r="Q75" s="571"/>
      <c r="R75" s="571"/>
      <c r="S75" s="566">
        <f t="shared" si="1"/>
        <v>167943.82891000001</v>
      </c>
    </row>
    <row r="76" spans="1:21" s="77" customFormat="1" ht="31.5" x14ac:dyDescent="0.25">
      <c r="A76" s="264" t="s">
        <v>124</v>
      </c>
      <c r="B76" s="380" t="s">
        <v>22</v>
      </c>
      <c r="C76" s="488" t="s">
        <v>31</v>
      </c>
      <c r="D76" s="380" t="s">
        <v>36</v>
      </c>
      <c r="E76" s="265" t="s">
        <v>379</v>
      </c>
      <c r="F76" s="380" t="s">
        <v>117</v>
      </c>
      <c r="G76" s="282">
        <v>2225</v>
      </c>
      <c r="H76" s="303"/>
      <c r="I76" s="265">
        <v>-6</v>
      </c>
      <c r="J76" s="265"/>
      <c r="K76" s="265">
        <v>-20</v>
      </c>
      <c r="L76" s="419">
        <v>-7</v>
      </c>
      <c r="M76" s="570"/>
      <c r="N76" s="570"/>
      <c r="O76" s="571"/>
      <c r="P76" s="571"/>
      <c r="Q76" s="571"/>
      <c r="R76" s="571"/>
      <c r="S76" s="566">
        <f t="shared" si="1"/>
        <v>2192</v>
      </c>
    </row>
    <row r="77" spans="1:21" s="77" customFormat="1" x14ac:dyDescent="0.25">
      <c r="A77" s="264" t="s">
        <v>125</v>
      </c>
      <c r="B77" s="380" t="s">
        <v>22</v>
      </c>
      <c r="C77" s="488" t="s">
        <v>31</v>
      </c>
      <c r="D77" s="380" t="s">
        <v>36</v>
      </c>
      <c r="E77" s="265" t="s">
        <v>379</v>
      </c>
      <c r="F77" s="380" t="s">
        <v>118</v>
      </c>
      <c r="G77" s="282"/>
      <c r="H77" s="303"/>
      <c r="I77" s="265"/>
      <c r="J77" s="265"/>
      <c r="K77" s="265"/>
      <c r="L77" s="265"/>
      <c r="M77" s="570">
        <v>2.17109</v>
      </c>
      <c r="N77" s="570"/>
      <c r="O77" s="571"/>
      <c r="P77" s="571"/>
      <c r="Q77" s="571"/>
      <c r="R77" s="571"/>
      <c r="S77" s="566">
        <f t="shared" si="1"/>
        <v>2.17109</v>
      </c>
    </row>
    <row r="78" spans="1:21" s="80" customFormat="1" ht="31.15" hidden="1" x14ac:dyDescent="0.3">
      <c r="A78" s="267" t="s">
        <v>653</v>
      </c>
      <c r="B78" s="497" t="s">
        <v>22</v>
      </c>
      <c r="C78" s="496" t="s">
        <v>31</v>
      </c>
      <c r="D78" s="497" t="s">
        <v>36</v>
      </c>
      <c r="E78" s="285" t="s">
        <v>652</v>
      </c>
      <c r="F78" s="497" t="s">
        <v>9</v>
      </c>
      <c r="G78" s="283">
        <f t="shared" ref="G78:R78" si="30">G79</f>
        <v>0</v>
      </c>
      <c r="H78" s="283">
        <f t="shared" si="30"/>
        <v>0</v>
      </c>
      <c r="I78" s="283">
        <f t="shared" si="30"/>
        <v>0</v>
      </c>
      <c r="J78" s="283">
        <f t="shared" si="30"/>
        <v>0</v>
      </c>
      <c r="K78" s="283">
        <f t="shared" si="30"/>
        <v>0</v>
      </c>
      <c r="L78" s="283">
        <f t="shared" si="30"/>
        <v>0</v>
      </c>
      <c r="M78" s="568">
        <f t="shared" si="30"/>
        <v>0</v>
      </c>
      <c r="N78" s="568">
        <f t="shared" si="30"/>
        <v>0</v>
      </c>
      <c r="O78" s="569">
        <f t="shared" si="30"/>
        <v>0</v>
      </c>
      <c r="P78" s="569">
        <f t="shared" si="30"/>
        <v>0</v>
      </c>
      <c r="Q78" s="569">
        <f t="shared" si="30"/>
        <v>0</v>
      </c>
      <c r="R78" s="569">
        <f t="shared" si="30"/>
        <v>0</v>
      </c>
      <c r="S78" s="132">
        <f t="shared" si="1"/>
        <v>0</v>
      </c>
    </row>
    <row r="79" spans="1:21" s="77" customFormat="1" ht="62.45" hidden="1" x14ac:dyDescent="0.3">
      <c r="A79" s="264" t="s">
        <v>115</v>
      </c>
      <c r="B79" s="380" t="s">
        <v>22</v>
      </c>
      <c r="C79" s="488" t="s">
        <v>31</v>
      </c>
      <c r="D79" s="380" t="s">
        <v>36</v>
      </c>
      <c r="E79" s="265" t="s">
        <v>652</v>
      </c>
      <c r="F79" s="380" t="s">
        <v>113</v>
      </c>
      <c r="G79" s="282"/>
      <c r="H79" s="303"/>
      <c r="I79" s="265"/>
      <c r="J79" s="265"/>
      <c r="K79" s="265"/>
      <c r="L79" s="265"/>
      <c r="M79" s="570"/>
      <c r="N79" s="570"/>
      <c r="O79" s="571"/>
      <c r="P79" s="571"/>
      <c r="Q79" s="571"/>
      <c r="R79" s="571"/>
      <c r="S79" s="131">
        <f t="shared" si="1"/>
        <v>0</v>
      </c>
    </row>
    <row r="80" spans="1:21" s="77" customFormat="1" ht="46.9" hidden="1" x14ac:dyDescent="0.3">
      <c r="A80" s="267" t="s">
        <v>1039</v>
      </c>
      <c r="B80" s="497" t="s">
        <v>22</v>
      </c>
      <c r="C80" s="496" t="s">
        <v>31</v>
      </c>
      <c r="D80" s="497" t="s">
        <v>36</v>
      </c>
      <c r="E80" s="285" t="s">
        <v>1040</v>
      </c>
      <c r="F80" s="497" t="s">
        <v>9</v>
      </c>
      <c r="G80" s="283">
        <f t="shared" ref="G80:R80" si="31">G81</f>
        <v>0</v>
      </c>
      <c r="H80" s="283">
        <f t="shared" si="31"/>
        <v>0</v>
      </c>
      <c r="I80" s="283">
        <f t="shared" si="31"/>
        <v>0</v>
      </c>
      <c r="J80" s="283">
        <f t="shared" si="31"/>
        <v>0</v>
      </c>
      <c r="K80" s="283">
        <f t="shared" si="31"/>
        <v>0</v>
      </c>
      <c r="L80" s="283">
        <f t="shared" si="31"/>
        <v>0</v>
      </c>
      <c r="M80" s="568">
        <f t="shared" si="31"/>
        <v>0</v>
      </c>
      <c r="N80" s="568">
        <f t="shared" si="31"/>
        <v>0</v>
      </c>
      <c r="O80" s="132">
        <f t="shared" si="31"/>
        <v>0</v>
      </c>
      <c r="P80" s="132">
        <f t="shared" si="31"/>
        <v>0</v>
      </c>
      <c r="Q80" s="132">
        <f t="shared" si="31"/>
        <v>0</v>
      </c>
      <c r="R80" s="132">
        <f t="shared" si="31"/>
        <v>0</v>
      </c>
      <c r="S80" s="132">
        <f t="shared" si="1"/>
        <v>0</v>
      </c>
    </row>
    <row r="81" spans="1:21" s="77" customFormat="1" ht="31.15" hidden="1" x14ac:dyDescent="0.3">
      <c r="A81" s="264" t="s">
        <v>124</v>
      </c>
      <c r="B81" s="380" t="s">
        <v>22</v>
      </c>
      <c r="C81" s="488" t="s">
        <v>31</v>
      </c>
      <c r="D81" s="380" t="s">
        <v>36</v>
      </c>
      <c r="E81" s="265" t="s">
        <v>1040</v>
      </c>
      <c r="F81" s="380" t="s">
        <v>117</v>
      </c>
      <c r="G81" s="282"/>
      <c r="H81" s="303"/>
      <c r="I81" s="265"/>
      <c r="J81" s="265"/>
      <c r="K81" s="265"/>
      <c r="L81" s="265"/>
      <c r="M81" s="570"/>
      <c r="N81" s="570"/>
      <c r="O81" s="571"/>
      <c r="P81" s="571"/>
      <c r="Q81" s="571"/>
      <c r="R81" s="571"/>
      <c r="S81" s="131">
        <f t="shared" ref="S81:S146" si="32">G81+H81+I81+J81+K81+L81+M81+N81+O81+P81+Q81+R81</f>
        <v>0</v>
      </c>
    </row>
    <row r="82" spans="1:21" s="80" customFormat="1" ht="15.6" hidden="1" x14ac:dyDescent="0.3">
      <c r="A82" s="267" t="s">
        <v>1113</v>
      </c>
      <c r="B82" s="497" t="s">
        <v>22</v>
      </c>
      <c r="C82" s="496" t="s">
        <v>31</v>
      </c>
      <c r="D82" s="497" t="s">
        <v>36</v>
      </c>
      <c r="E82" s="285" t="s">
        <v>1041</v>
      </c>
      <c r="F82" s="497" t="s">
        <v>9</v>
      </c>
      <c r="G82" s="283">
        <f t="shared" ref="G82:R82" si="33">G83</f>
        <v>46.9</v>
      </c>
      <c r="H82" s="283">
        <f t="shared" si="33"/>
        <v>0</v>
      </c>
      <c r="I82" s="283">
        <f t="shared" si="33"/>
        <v>0</v>
      </c>
      <c r="J82" s="283">
        <f t="shared" si="33"/>
        <v>0</v>
      </c>
      <c r="K82" s="283">
        <f t="shared" si="33"/>
        <v>0</v>
      </c>
      <c r="L82" s="283">
        <f t="shared" si="33"/>
        <v>0</v>
      </c>
      <c r="M82" s="568">
        <f t="shared" si="33"/>
        <v>-46.9</v>
      </c>
      <c r="N82" s="568">
        <f t="shared" si="33"/>
        <v>0</v>
      </c>
      <c r="O82" s="132">
        <f t="shared" si="33"/>
        <v>0</v>
      </c>
      <c r="P82" s="132">
        <f t="shared" si="33"/>
        <v>0</v>
      </c>
      <c r="Q82" s="132">
        <f t="shared" si="33"/>
        <v>0</v>
      </c>
      <c r="R82" s="132">
        <f t="shared" si="33"/>
        <v>0</v>
      </c>
      <c r="S82" s="132">
        <f t="shared" si="32"/>
        <v>0</v>
      </c>
      <c r="T82" s="77"/>
      <c r="U82" s="77"/>
    </row>
    <row r="83" spans="1:21" s="77" customFormat="1" ht="31.15" hidden="1" x14ac:dyDescent="0.3">
      <c r="A83" s="264" t="s">
        <v>124</v>
      </c>
      <c r="B83" s="380" t="s">
        <v>22</v>
      </c>
      <c r="C83" s="488" t="s">
        <v>31</v>
      </c>
      <c r="D83" s="380" t="s">
        <v>36</v>
      </c>
      <c r="E83" s="265" t="s">
        <v>1042</v>
      </c>
      <c r="F83" s="380" t="s">
        <v>117</v>
      </c>
      <c r="G83" s="360">
        <f>28.4+18.5</f>
        <v>46.9</v>
      </c>
      <c r="H83" s="303"/>
      <c r="I83" s="265"/>
      <c r="J83" s="265"/>
      <c r="K83" s="265"/>
      <c r="L83" s="265"/>
      <c r="M83" s="570">
        <v>-46.9</v>
      </c>
      <c r="N83" s="570"/>
      <c r="O83" s="571"/>
      <c r="P83" s="571"/>
      <c r="Q83" s="571"/>
      <c r="R83" s="571"/>
      <c r="S83" s="566">
        <f t="shared" si="32"/>
        <v>0</v>
      </c>
    </row>
    <row r="84" spans="1:21" s="77" customFormat="1" ht="40.5" customHeight="1" x14ac:dyDescent="0.25">
      <c r="A84" s="267" t="s">
        <v>1241</v>
      </c>
      <c r="B84" s="614" t="s">
        <v>22</v>
      </c>
      <c r="C84" s="496" t="s">
        <v>31</v>
      </c>
      <c r="D84" s="614" t="s">
        <v>36</v>
      </c>
      <c r="E84" s="615" t="s">
        <v>1240</v>
      </c>
      <c r="F84" s="614" t="s">
        <v>9</v>
      </c>
      <c r="G84" s="360"/>
      <c r="H84" s="303"/>
      <c r="I84" s="265"/>
      <c r="J84" s="265"/>
      <c r="K84" s="265"/>
      <c r="L84" s="265"/>
      <c r="M84" s="576">
        <f>M85</f>
        <v>120.1</v>
      </c>
      <c r="N84" s="570"/>
      <c r="O84" s="571"/>
      <c r="P84" s="571"/>
      <c r="Q84" s="571"/>
      <c r="R84" s="571"/>
      <c r="S84" s="132">
        <f t="shared" si="32"/>
        <v>120.1</v>
      </c>
    </row>
    <row r="85" spans="1:21" s="77" customFormat="1" ht="31.5" x14ac:dyDescent="0.25">
      <c r="A85" s="264" t="s">
        <v>124</v>
      </c>
      <c r="B85" s="380" t="s">
        <v>22</v>
      </c>
      <c r="C85" s="488" t="s">
        <v>31</v>
      </c>
      <c r="D85" s="380" t="s">
        <v>36</v>
      </c>
      <c r="E85" s="75" t="s">
        <v>1240</v>
      </c>
      <c r="F85" s="380" t="s">
        <v>117</v>
      </c>
      <c r="G85" s="360"/>
      <c r="H85" s="303"/>
      <c r="I85" s="265"/>
      <c r="J85" s="265"/>
      <c r="K85" s="265"/>
      <c r="L85" s="265"/>
      <c r="M85" s="570">
        <v>120.1</v>
      </c>
      <c r="N85" s="570"/>
      <c r="O85" s="571"/>
      <c r="P85" s="571"/>
      <c r="Q85" s="571"/>
      <c r="R85" s="571"/>
      <c r="S85" s="566">
        <f t="shared" si="32"/>
        <v>120.1</v>
      </c>
    </row>
    <row r="86" spans="1:21" s="80" customFormat="1" x14ac:dyDescent="0.25">
      <c r="A86" s="267" t="s">
        <v>805</v>
      </c>
      <c r="B86" s="497" t="s">
        <v>22</v>
      </c>
      <c r="C86" s="496" t="s">
        <v>31</v>
      </c>
      <c r="D86" s="497" t="s">
        <v>36</v>
      </c>
      <c r="E86" s="285" t="s">
        <v>802</v>
      </c>
      <c r="F86" s="497" t="s">
        <v>9</v>
      </c>
      <c r="G86" s="283">
        <f t="shared" ref="G86:R86" si="34">G96+G87+G101</f>
        <v>3122.1980000000003</v>
      </c>
      <c r="H86" s="283">
        <f t="shared" si="34"/>
        <v>0</v>
      </c>
      <c r="I86" s="283">
        <f t="shared" si="34"/>
        <v>0</v>
      </c>
      <c r="J86" s="283">
        <f t="shared" si="34"/>
        <v>0</v>
      </c>
      <c r="K86" s="283">
        <f t="shared" si="34"/>
        <v>0</v>
      </c>
      <c r="L86" s="283">
        <f t="shared" si="34"/>
        <v>0</v>
      </c>
      <c r="M86" s="568">
        <f t="shared" si="34"/>
        <v>0</v>
      </c>
      <c r="N86" s="568">
        <f t="shared" si="34"/>
        <v>0</v>
      </c>
      <c r="O86" s="132">
        <f t="shared" si="34"/>
        <v>0</v>
      </c>
      <c r="P86" s="132">
        <f t="shared" si="34"/>
        <v>0</v>
      </c>
      <c r="Q86" s="132">
        <f t="shared" si="34"/>
        <v>0</v>
      </c>
      <c r="R86" s="132">
        <f t="shared" si="34"/>
        <v>0</v>
      </c>
      <c r="S86" s="132">
        <f t="shared" si="32"/>
        <v>3122.1980000000003</v>
      </c>
    </row>
    <row r="87" spans="1:21" s="80" customFormat="1" x14ac:dyDescent="0.25">
      <c r="A87" s="267" t="s">
        <v>944</v>
      </c>
      <c r="B87" s="497" t="s">
        <v>22</v>
      </c>
      <c r="C87" s="496" t="s">
        <v>31</v>
      </c>
      <c r="D87" s="497" t="s">
        <v>36</v>
      </c>
      <c r="E87" s="285" t="s">
        <v>945</v>
      </c>
      <c r="F87" s="497" t="s">
        <v>9</v>
      </c>
      <c r="G87" s="283">
        <f t="shared" ref="G87:M87" si="35">G88+G90+G92+G94</f>
        <v>1212.4000000000001</v>
      </c>
      <c r="H87" s="283">
        <f t="shared" si="35"/>
        <v>0</v>
      </c>
      <c r="I87" s="283">
        <f t="shared" si="35"/>
        <v>0</v>
      </c>
      <c r="J87" s="283">
        <f t="shared" si="35"/>
        <v>0</v>
      </c>
      <c r="K87" s="283">
        <f t="shared" si="35"/>
        <v>0</v>
      </c>
      <c r="L87" s="283">
        <f t="shared" si="35"/>
        <v>0</v>
      </c>
      <c r="M87" s="568">
        <f t="shared" si="35"/>
        <v>0</v>
      </c>
      <c r="N87" s="568">
        <f>N88+N90</f>
        <v>0</v>
      </c>
      <c r="O87" s="569">
        <f>O88+O90</f>
        <v>0</v>
      </c>
      <c r="P87" s="569">
        <f>P88+P90</f>
        <v>0</v>
      </c>
      <c r="Q87" s="569">
        <f>Q88+Q90</f>
        <v>0</v>
      </c>
      <c r="R87" s="569">
        <f>R88+R90</f>
        <v>0</v>
      </c>
      <c r="S87" s="132">
        <f t="shared" si="32"/>
        <v>1212.4000000000001</v>
      </c>
    </row>
    <row r="88" spans="1:21" s="80" customFormat="1" ht="62.45" hidden="1" x14ac:dyDescent="0.3">
      <c r="A88" s="267" t="s">
        <v>946</v>
      </c>
      <c r="B88" s="497" t="s">
        <v>22</v>
      </c>
      <c r="C88" s="496" t="s">
        <v>31</v>
      </c>
      <c r="D88" s="497" t="s">
        <v>36</v>
      </c>
      <c r="E88" s="285" t="s">
        <v>1017</v>
      </c>
      <c r="F88" s="497" t="s">
        <v>9</v>
      </c>
      <c r="G88" s="283">
        <f t="shared" ref="G88:R88" si="36">G89</f>
        <v>0</v>
      </c>
      <c r="H88" s="283">
        <f t="shared" si="36"/>
        <v>0</v>
      </c>
      <c r="I88" s="283">
        <f t="shared" si="36"/>
        <v>0</v>
      </c>
      <c r="J88" s="283">
        <f t="shared" si="36"/>
        <v>0</v>
      </c>
      <c r="K88" s="283">
        <f t="shared" si="36"/>
        <v>0</v>
      </c>
      <c r="L88" s="283">
        <f t="shared" si="36"/>
        <v>0</v>
      </c>
      <c r="M88" s="568">
        <f t="shared" si="36"/>
        <v>0</v>
      </c>
      <c r="N88" s="568">
        <f t="shared" si="36"/>
        <v>0</v>
      </c>
      <c r="O88" s="569">
        <f t="shared" si="36"/>
        <v>0</v>
      </c>
      <c r="P88" s="569">
        <f t="shared" si="36"/>
        <v>0</v>
      </c>
      <c r="Q88" s="569">
        <f t="shared" si="36"/>
        <v>0</v>
      </c>
      <c r="R88" s="569">
        <f t="shared" si="36"/>
        <v>0</v>
      </c>
      <c r="S88" s="132">
        <f t="shared" si="32"/>
        <v>0</v>
      </c>
    </row>
    <row r="89" spans="1:21" s="80" customFormat="1" ht="31.15" hidden="1" x14ac:dyDescent="0.3">
      <c r="A89" s="264" t="s">
        <v>124</v>
      </c>
      <c r="B89" s="380" t="s">
        <v>22</v>
      </c>
      <c r="C89" s="488" t="s">
        <v>31</v>
      </c>
      <c r="D89" s="380" t="s">
        <v>36</v>
      </c>
      <c r="E89" s="265" t="s">
        <v>1017</v>
      </c>
      <c r="F89" s="380" t="s">
        <v>117</v>
      </c>
      <c r="G89" s="283"/>
      <c r="H89" s="304"/>
      <c r="I89" s="283"/>
      <c r="J89" s="282"/>
      <c r="K89" s="283"/>
      <c r="L89" s="283"/>
      <c r="M89" s="568"/>
      <c r="N89" s="568"/>
      <c r="O89" s="132"/>
      <c r="P89" s="132"/>
      <c r="Q89" s="132"/>
      <c r="R89" s="132"/>
      <c r="S89" s="131">
        <f t="shared" si="32"/>
        <v>0</v>
      </c>
    </row>
    <row r="90" spans="1:21" s="80" customFormat="1" ht="62.45" hidden="1" x14ac:dyDescent="0.3">
      <c r="A90" s="267" t="s">
        <v>946</v>
      </c>
      <c r="B90" s="497" t="s">
        <v>22</v>
      </c>
      <c r="C90" s="496" t="s">
        <v>31</v>
      </c>
      <c r="D90" s="497" t="s">
        <v>36</v>
      </c>
      <c r="E90" s="285" t="s">
        <v>1018</v>
      </c>
      <c r="F90" s="497" t="s">
        <v>9</v>
      </c>
      <c r="G90" s="283">
        <f t="shared" ref="G90:R90" si="37">G91</f>
        <v>0</v>
      </c>
      <c r="H90" s="283">
        <f t="shared" si="37"/>
        <v>0</v>
      </c>
      <c r="I90" s="283">
        <f t="shared" si="37"/>
        <v>0</v>
      </c>
      <c r="J90" s="283">
        <f t="shared" si="37"/>
        <v>0</v>
      </c>
      <c r="K90" s="283">
        <f t="shared" si="37"/>
        <v>0</v>
      </c>
      <c r="L90" s="283">
        <f t="shared" si="37"/>
        <v>0</v>
      </c>
      <c r="M90" s="568">
        <f t="shared" si="37"/>
        <v>0</v>
      </c>
      <c r="N90" s="568">
        <f t="shared" si="37"/>
        <v>0</v>
      </c>
      <c r="O90" s="569">
        <f t="shared" si="37"/>
        <v>0</v>
      </c>
      <c r="P90" s="569">
        <f t="shared" si="37"/>
        <v>0</v>
      </c>
      <c r="Q90" s="569">
        <f t="shared" si="37"/>
        <v>0</v>
      </c>
      <c r="R90" s="569">
        <f t="shared" si="37"/>
        <v>0</v>
      </c>
      <c r="S90" s="132">
        <f t="shared" si="32"/>
        <v>0</v>
      </c>
    </row>
    <row r="91" spans="1:21" s="80" customFormat="1" ht="31.15" hidden="1" x14ac:dyDescent="0.3">
      <c r="A91" s="264" t="s">
        <v>124</v>
      </c>
      <c r="B91" s="380" t="s">
        <v>22</v>
      </c>
      <c r="C91" s="488" t="s">
        <v>31</v>
      </c>
      <c r="D91" s="380" t="s">
        <v>36</v>
      </c>
      <c r="E91" s="265" t="s">
        <v>1018</v>
      </c>
      <c r="F91" s="380" t="s">
        <v>117</v>
      </c>
      <c r="G91" s="283"/>
      <c r="H91" s="304"/>
      <c r="I91" s="283"/>
      <c r="J91" s="282"/>
      <c r="K91" s="283"/>
      <c r="L91" s="283"/>
      <c r="M91" s="568"/>
      <c r="N91" s="568"/>
      <c r="O91" s="132"/>
      <c r="P91" s="132"/>
      <c r="Q91" s="132"/>
      <c r="R91" s="132"/>
      <c r="S91" s="131">
        <f t="shared" si="32"/>
        <v>0</v>
      </c>
    </row>
    <row r="92" spans="1:21" s="80" customFormat="1" ht="63" x14ac:dyDescent="0.25">
      <c r="A92" s="267" t="s">
        <v>946</v>
      </c>
      <c r="B92" s="380" t="s">
        <v>22</v>
      </c>
      <c r="C92" s="488" t="s">
        <v>31</v>
      </c>
      <c r="D92" s="380" t="s">
        <v>36</v>
      </c>
      <c r="E92" s="265" t="s">
        <v>947</v>
      </c>
      <c r="F92" s="497" t="s">
        <v>9</v>
      </c>
      <c r="G92" s="283">
        <f t="shared" ref="G92:R92" si="38">G93</f>
        <v>1200</v>
      </c>
      <c r="H92" s="283">
        <f t="shared" si="38"/>
        <v>0</v>
      </c>
      <c r="I92" s="283">
        <f t="shared" si="38"/>
        <v>0</v>
      </c>
      <c r="J92" s="283">
        <f t="shared" si="38"/>
        <v>0</v>
      </c>
      <c r="K92" s="283">
        <f t="shared" si="38"/>
        <v>0</v>
      </c>
      <c r="L92" s="283">
        <f t="shared" si="38"/>
        <v>0</v>
      </c>
      <c r="M92" s="568">
        <f t="shared" si="38"/>
        <v>0</v>
      </c>
      <c r="N92" s="568">
        <f t="shared" si="38"/>
        <v>0</v>
      </c>
      <c r="O92" s="132">
        <f t="shared" si="38"/>
        <v>0</v>
      </c>
      <c r="P92" s="132">
        <f t="shared" si="38"/>
        <v>0</v>
      </c>
      <c r="Q92" s="132">
        <f t="shared" si="38"/>
        <v>0</v>
      </c>
      <c r="R92" s="132">
        <f t="shared" si="38"/>
        <v>0</v>
      </c>
      <c r="S92" s="131">
        <f t="shared" si="32"/>
        <v>1200</v>
      </c>
    </row>
    <row r="93" spans="1:21" s="80" customFormat="1" ht="31.5" x14ac:dyDescent="0.25">
      <c r="A93" s="264" t="s">
        <v>124</v>
      </c>
      <c r="B93" s="380" t="s">
        <v>22</v>
      </c>
      <c r="C93" s="488" t="s">
        <v>31</v>
      </c>
      <c r="D93" s="380" t="s">
        <v>36</v>
      </c>
      <c r="E93" s="265" t="s">
        <v>947</v>
      </c>
      <c r="F93" s="380" t="s">
        <v>117</v>
      </c>
      <c r="G93" s="282">
        <v>1200</v>
      </c>
      <c r="H93" s="304"/>
      <c r="I93" s="283"/>
      <c r="J93" s="282"/>
      <c r="K93" s="283"/>
      <c r="L93" s="283"/>
      <c r="M93" s="568"/>
      <c r="N93" s="568"/>
      <c r="O93" s="132"/>
      <c r="P93" s="132"/>
      <c r="Q93" s="132"/>
      <c r="R93" s="132"/>
      <c r="S93" s="566">
        <f t="shared" si="32"/>
        <v>1200</v>
      </c>
    </row>
    <row r="94" spans="1:21" s="80" customFormat="1" ht="63" x14ac:dyDescent="0.25">
      <c r="A94" s="267" t="s">
        <v>946</v>
      </c>
      <c r="B94" s="380" t="s">
        <v>22</v>
      </c>
      <c r="C94" s="488" t="s">
        <v>31</v>
      </c>
      <c r="D94" s="380" t="s">
        <v>36</v>
      </c>
      <c r="E94" s="265" t="s">
        <v>948</v>
      </c>
      <c r="F94" s="497" t="s">
        <v>9</v>
      </c>
      <c r="G94" s="283">
        <f t="shared" ref="G94:R94" si="39">G95</f>
        <v>12.4</v>
      </c>
      <c r="H94" s="283">
        <f t="shared" si="39"/>
        <v>0</v>
      </c>
      <c r="I94" s="283">
        <f t="shared" si="39"/>
        <v>0</v>
      </c>
      <c r="J94" s="283">
        <f t="shared" si="39"/>
        <v>0</v>
      </c>
      <c r="K94" s="283">
        <f t="shared" si="39"/>
        <v>0</v>
      </c>
      <c r="L94" s="283">
        <f t="shared" si="39"/>
        <v>0</v>
      </c>
      <c r="M94" s="568">
        <f t="shared" si="39"/>
        <v>0</v>
      </c>
      <c r="N94" s="568">
        <f t="shared" si="39"/>
        <v>0</v>
      </c>
      <c r="O94" s="132">
        <f t="shared" si="39"/>
        <v>0</v>
      </c>
      <c r="P94" s="132">
        <f t="shared" si="39"/>
        <v>0</v>
      </c>
      <c r="Q94" s="132">
        <f t="shared" si="39"/>
        <v>0</v>
      </c>
      <c r="R94" s="132">
        <f t="shared" si="39"/>
        <v>0</v>
      </c>
      <c r="S94" s="131">
        <f t="shared" si="32"/>
        <v>12.4</v>
      </c>
    </row>
    <row r="95" spans="1:21" s="80" customFormat="1" ht="31.5" x14ac:dyDescent="0.25">
      <c r="A95" s="264" t="s">
        <v>124</v>
      </c>
      <c r="B95" s="380" t="s">
        <v>22</v>
      </c>
      <c r="C95" s="488" t="s">
        <v>31</v>
      </c>
      <c r="D95" s="380" t="s">
        <v>36</v>
      </c>
      <c r="E95" s="265" t="s">
        <v>948</v>
      </c>
      <c r="F95" s="380" t="s">
        <v>117</v>
      </c>
      <c r="G95" s="282">
        <v>12.4</v>
      </c>
      <c r="H95" s="304"/>
      <c r="I95" s="283"/>
      <c r="J95" s="282"/>
      <c r="K95" s="283"/>
      <c r="L95" s="283"/>
      <c r="M95" s="568"/>
      <c r="N95" s="568"/>
      <c r="O95" s="132"/>
      <c r="P95" s="132"/>
      <c r="Q95" s="132"/>
      <c r="R95" s="132"/>
      <c r="S95" s="566">
        <f t="shared" si="32"/>
        <v>12.4</v>
      </c>
    </row>
    <row r="96" spans="1:21" s="80" customFormat="1" ht="15.6" hidden="1" x14ac:dyDescent="0.3">
      <c r="A96" s="267" t="s">
        <v>804</v>
      </c>
      <c r="B96" s="497" t="s">
        <v>22</v>
      </c>
      <c r="C96" s="496" t="s">
        <v>31</v>
      </c>
      <c r="D96" s="497" t="s">
        <v>36</v>
      </c>
      <c r="E96" s="285" t="s">
        <v>803</v>
      </c>
      <c r="F96" s="497" t="s">
        <v>9</v>
      </c>
      <c r="G96" s="283">
        <f t="shared" ref="G96:R96" si="40">G97+G99</f>
        <v>0</v>
      </c>
      <c r="H96" s="283">
        <f t="shared" si="40"/>
        <v>0</v>
      </c>
      <c r="I96" s="283">
        <f t="shared" si="40"/>
        <v>0</v>
      </c>
      <c r="J96" s="283">
        <f t="shared" si="40"/>
        <v>0</v>
      </c>
      <c r="K96" s="283">
        <f t="shared" si="40"/>
        <v>0</v>
      </c>
      <c r="L96" s="283">
        <f t="shared" si="40"/>
        <v>0</v>
      </c>
      <c r="M96" s="568">
        <f t="shared" si="40"/>
        <v>0</v>
      </c>
      <c r="N96" s="568">
        <f t="shared" si="40"/>
        <v>0</v>
      </c>
      <c r="O96" s="569">
        <f t="shared" si="40"/>
        <v>0</v>
      </c>
      <c r="P96" s="569">
        <f t="shared" si="40"/>
        <v>0</v>
      </c>
      <c r="Q96" s="569">
        <f t="shared" si="40"/>
        <v>0</v>
      </c>
      <c r="R96" s="569">
        <f t="shared" si="40"/>
        <v>0</v>
      </c>
      <c r="S96" s="132">
        <f t="shared" si="32"/>
        <v>0</v>
      </c>
    </row>
    <row r="97" spans="1:19" s="80" customFormat="1" ht="46.9" hidden="1" x14ac:dyDescent="0.3">
      <c r="A97" s="267" t="s">
        <v>659</v>
      </c>
      <c r="B97" s="497" t="s">
        <v>22</v>
      </c>
      <c r="C97" s="496" t="s">
        <v>31</v>
      </c>
      <c r="D97" s="497" t="s">
        <v>36</v>
      </c>
      <c r="E97" s="285" t="s">
        <v>680</v>
      </c>
      <c r="F97" s="497" t="s">
        <v>9</v>
      </c>
      <c r="G97" s="283">
        <f t="shared" ref="G97:R97" si="41">G98</f>
        <v>0</v>
      </c>
      <c r="H97" s="283">
        <f t="shared" si="41"/>
        <v>0</v>
      </c>
      <c r="I97" s="283">
        <f t="shared" si="41"/>
        <v>0</v>
      </c>
      <c r="J97" s="283">
        <f t="shared" si="41"/>
        <v>0</v>
      </c>
      <c r="K97" s="283">
        <f t="shared" si="41"/>
        <v>0</v>
      </c>
      <c r="L97" s="283">
        <f t="shared" si="41"/>
        <v>0</v>
      </c>
      <c r="M97" s="568">
        <f t="shared" si="41"/>
        <v>0</v>
      </c>
      <c r="N97" s="568">
        <f t="shared" si="41"/>
        <v>0</v>
      </c>
      <c r="O97" s="569">
        <f t="shared" si="41"/>
        <v>0</v>
      </c>
      <c r="P97" s="569">
        <f t="shared" si="41"/>
        <v>0</v>
      </c>
      <c r="Q97" s="569">
        <f t="shared" si="41"/>
        <v>0</v>
      </c>
      <c r="R97" s="569">
        <f t="shared" si="41"/>
        <v>0</v>
      </c>
      <c r="S97" s="132">
        <f t="shared" si="32"/>
        <v>0</v>
      </c>
    </row>
    <row r="98" spans="1:19" s="77" customFormat="1" ht="31.15" hidden="1" x14ac:dyDescent="0.3">
      <c r="A98" s="264" t="s">
        <v>124</v>
      </c>
      <c r="B98" s="380" t="s">
        <v>22</v>
      </c>
      <c r="C98" s="488" t="s">
        <v>31</v>
      </c>
      <c r="D98" s="380" t="s">
        <v>36</v>
      </c>
      <c r="E98" s="265" t="s">
        <v>680</v>
      </c>
      <c r="F98" s="380" t="s">
        <v>117</v>
      </c>
      <c r="G98" s="282"/>
      <c r="H98" s="303"/>
      <c r="I98" s="265"/>
      <c r="J98" s="282"/>
      <c r="K98" s="265"/>
      <c r="L98" s="282"/>
      <c r="M98" s="570"/>
      <c r="N98" s="570"/>
      <c r="O98" s="571"/>
      <c r="P98" s="571"/>
      <c r="Q98" s="571"/>
      <c r="R98" s="571"/>
      <c r="S98" s="131">
        <f t="shared" si="32"/>
        <v>0</v>
      </c>
    </row>
    <row r="99" spans="1:19" s="80" customFormat="1" ht="46.9" hidden="1" x14ac:dyDescent="0.3">
      <c r="A99" s="267" t="s">
        <v>659</v>
      </c>
      <c r="B99" s="497" t="s">
        <v>22</v>
      </c>
      <c r="C99" s="496" t="s">
        <v>31</v>
      </c>
      <c r="D99" s="497" t="s">
        <v>36</v>
      </c>
      <c r="E99" s="285" t="s">
        <v>949</v>
      </c>
      <c r="F99" s="497" t="s">
        <v>9</v>
      </c>
      <c r="G99" s="283">
        <f t="shared" ref="G99:R99" si="42">G100</f>
        <v>0</v>
      </c>
      <c r="H99" s="283">
        <f t="shared" si="42"/>
        <v>0</v>
      </c>
      <c r="I99" s="283">
        <f t="shared" si="42"/>
        <v>0</v>
      </c>
      <c r="J99" s="283">
        <f t="shared" si="42"/>
        <v>0</v>
      </c>
      <c r="K99" s="283">
        <f t="shared" si="42"/>
        <v>0</v>
      </c>
      <c r="L99" s="283">
        <f t="shared" si="42"/>
        <v>0</v>
      </c>
      <c r="M99" s="568">
        <f t="shared" si="42"/>
        <v>0</v>
      </c>
      <c r="N99" s="568">
        <f t="shared" si="42"/>
        <v>0</v>
      </c>
      <c r="O99" s="569">
        <f t="shared" si="42"/>
        <v>0</v>
      </c>
      <c r="P99" s="569">
        <f t="shared" si="42"/>
        <v>0</v>
      </c>
      <c r="Q99" s="569">
        <f t="shared" si="42"/>
        <v>0</v>
      </c>
      <c r="R99" s="569">
        <f t="shared" si="42"/>
        <v>0</v>
      </c>
      <c r="S99" s="132">
        <f t="shared" si="32"/>
        <v>0</v>
      </c>
    </row>
    <row r="100" spans="1:19" s="77" customFormat="1" ht="31.15" hidden="1" x14ac:dyDescent="0.3">
      <c r="A100" s="264" t="s">
        <v>124</v>
      </c>
      <c r="B100" s="380" t="s">
        <v>22</v>
      </c>
      <c r="C100" s="488" t="s">
        <v>31</v>
      </c>
      <c r="D100" s="380" t="s">
        <v>36</v>
      </c>
      <c r="E100" s="265" t="s">
        <v>949</v>
      </c>
      <c r="F100" s="380" t="s">
        <v>117</v>
      </c>
      <c r="G100" s="282"/>
      <c r="H100" s="303"/>
      <c r="I100" s="265"/>
      <c r="J100" s="265"/>
      <c r="K100" s="265"/>
      <c r="L100" s="265"/>
      <c r="M100" s="570"/>
      <c r="N100" s="570"/>
      <c r="O100" s="571"/>
      <c r="P100" s="571"/>
      <c r="Q100" s="571"/>
      <c r="R100" s="571"/>
      <c r="S100" s="131">
        <f t="shared" si="32"/>
        <v>0</v>
      </c>
    </row>
    <row r="101" spans="1:19" s="77" customFormat="1" ht="31.5" x14ac:dyDescent="0.25">
      <c r="A101" s="267" t="s">
        <v>1143</v>
      </c>
      <c r="B101" s="497" t="s">
        <v>22</v>
      </c>
      <c r="C101" s="496" t="s">
        <v>31</v>
      </c>
      <c r="D101" s="497" t="s">
        <v>36</v>
      </c>
      <c r="E101" s="285" t="s">
        <v>1144</v>
      </c>
      <c r="F101" s="497" t="s">
        <v>9</v>
      </c>
      <c r="G101" s="282">
        <f>G102</f>
        <v>1909.798</v>
      </c>
      <c r="H101" s="303"/>
      <c r="I101" s="265"/>
      <c r="J101" s="265"/>
      <c r="K101" s="265"/>
      <c r="L101" s="265"/>
      <c r="M101" s="570"/>
      <c r="N101" s="570"/>
      <c r="O101" s="571"/>
      <c r="P101" s="571"/>
      <c r="Q101" s="571"/>
      <c r="R101" s="571"/>
      <c r="S101" s="132">
        <f t="shared" si="32"/>
        <v>1909.798</v>
      </c>
    </row>
    <row r="102" spans="1:19" s="77" customFormat="1" ht="47.25" x14ac:dyDescent="0.25">
      <c r="A102" s="267" t="s">
        <v>1145</v>
      </c>
      <c r="B102" s="497" t="s">
        <v>22</v>
      </c>
      <c r="C102" s="496" t="s">
        <v>31</v>
      </c>
      <c r="D102" s="497" t="s">
        <v>36</v>
      </c>
      <c r="E102" s="285" t="s">
        <v>1146</v>
      </c>
      <c r="F102" s="497" t="s">
        <v>9</v>
      </c>
      <c r="G102" s="282">
        <f>G103</f>
        <v>1909.798</v>
      </c>
      <c r="H102" s="303"/>
      <c r="I102" s="265"/>
      <c r="J102" s="265"/>
      <c r="K102" s="265"/>
      <c r="L102" s="265"/>
      <c r="M102" s="570"/>
      <c r="N102" s="570"/>
      <c r="O102" s="571"/>
      <c r="P102" s="571"/>
      <c r="Q102" s="571"/>
      <c r="R102" s="571"/>
      <c r="S102" s="132">
        <f t="shared" si="32"/>
        <v>1909.798</v>
      </c>
    </row>
    <row r="103" spans="1:19" s="77" customFormat="1" ht="63" x14ac:dyDescent="0.25">
      <c r="A103" s="264" t="s">
        <v>115</v>
      </c>
      <c r="B103" s="380" t="s">
        <v>22</v>
      </c>
      <c r="C103" s="488" t="s">
        <v>31</v>
      </c>
      <c r="D103" s="380" t="s">
        <v>36</v>
      </c>
      <c r="E103" s="265" t="s">
        <v>1146</v>
      </c>
      <c r="F103" s="380" t="s">
        <v>113</v>
      </c>
      <c r="G103" s="360">
        <f>1890.7+19.098</f>
        <v>1909.798</v>
      </c>
      <c r="H103" s="303"/>
      <c r="I103" s="265"/>
      <c r="J103" s="265"/>
      <c r="K103" s="265"/>
      <c r="L103" s="265"/>
      <c r="M103" s="570"/>
      <c r="N103" s="570"/>
      <c r="O103" s="571"/>
      <c r="P103" s="571"/>
      <c r="Q103" s="571"/>
      <c r="R103" s="571"/>
      <c r="S103" s="566">
        <f t="shared" si="32"/>
        <v>1909.798</v>
      </c>
    </row>
    <row r="104" spans="1:19" s="80" customFormat="1" ht="63" x14ac:dyDescent="0.25">
      <c r="A104" s="267" t="s">
        <v>808</v>
      </c>
      <c r="B104" s="497" t="s">
        <v>22</v>
      </c>
      <c r="C104" s="496" t="s">
        <v>31</v>
      </c>
      <c r="D104" s="497" t="s">
        <v>36</v>
      </c>
      <c r="E104" s="285" t="s">
        <v>809</v>
      </c>
      <c r="F104" s="497" t="s">
        <v>9</v>
      </c>
      <c r="G104" s="283">
        <f t="shared" ref="G104:R104" si="43">G105</f>
        <v>94.8</v>
      </c>
      <c r="H104" s="283">
        <f t="shared" si="43"/>
        <v>0</v>
      </c>
      <c r="I104" s="283">
        <f t="shared" si="43"/>
        <v>0</v>
      </c>
      <c r="J104" s="283">
        <f t="shared" si="43"/>
        <v>0</v>
      </c>
      <c r="K104" s="283">
        <f t="shared" si="43"/>
        <v>36.299999999999997</v>
      </c>
      <c r="L104" s="283">
        <f t="shared" si="43"/>
        <v>0</v>
      </c>
      <c r="M104" s="568">
        <f t="shared" si="43"/>
        <v>-22.7</v>
      </c>
      <c r="N104" s="568">
        <f t="shared" si="43"/>
        <v>0</v>
      </c>
      <c r="O104" s="569">
        <f t="shared" si="43"/>
        <v>0</v>
      </c>
      <c r="P104" s="569">
        <f t="shared" si="43"/>
        <v>0</v>
      </c>
      <c r="Q104" s="569">
        <f t="shared" si="43"/>
        <v>0</v>
      </c>
      <c r="R104" s="569">
        <f t="shared" si="43"/>
        <v>0</v>
      </c>
      <c r="S104" s="132">
        <f t="shared" si="32"/>
        <v>108.39999999999999</v>
      </c>
    </row>
    <row r="105" spans="1:19" s="77" customFormat="1" ht="31.5" x14ac:dyDescent="0.25">
      <c r="A105" s="264" t="s">
        <v>124</v>
      </c>
      <c r="B105" s="380" t="s">
        <v>22</v>
      </c>
      <c r="C105" s="488" t="s">
        <v>31</v>
      </c>
      <c r="D105" s="380" t="s">
        <v>36</v>
      </c>
      <c r="E105" s="265" t="s">
        <v>809</v>
      </c>
      <c r="F105" s="380" t="s">
        <v>117</v>
      </c>
      <c r="G105" s="282">
        <v>94.8</v>
      </c>
      <c r="H105" s="303"/>
      <c r="I105" s="265"/>
      <c r="J105" s="282"/>
      <c r="K105" s="418">
        <v>36.299999999999997</v>
      </c>
      <c r="L105" s="282"/>
      <c r="M105" s="570">
        <v>-22.7</v>
      </c>
      <c r="N105" s="570"/>
      <c r="O105" s="571"/>
      <c r="P105" s="571"/>
      <c r="Q105" s="571"/>
      <c r="R105" s="571"/>
      <c r="S105" s="566">
        <f t="shared" si="32"/>
        <v>108.39999999999999</v>
      </c>
    </row>
    <row r="106" spans="1:19" s="77" customFormat="1" ht="31.5" x14ac:dyDescent="0.25">
      <c r="A106" s="267" t="s">
        <v>1162</v>
      </c>
      <c r="B106" s="497">
        <v>903</v>
      </c>
      <c r="C106" s="496" t="s">
        <v>31</v>
      </c>
      <c r="D106" s="497" t="s">
        <v>36</v>
      </c>
      <c r="E106" s="285" t="s">
        <v>1163</v>
      </c>
      <c r="F106" s="497" t="s">
        <v>9</v>
      </c>
      <c r="G106" s="283">
        <f t="shared" ref="G106:R106" si="44">G107</f>
        <v>0</v>
      </c>
      <c r="H106" s="283">
        <f t="shared" si="44"/>
        <v>0</v>
      </c>
      <c r="I106" s="283">
        <f t="shared" si="44"/>
        <v>0</v>
      </c>
      <c r="J106" s="283">
        <f t="shared" si="44"/>
        <v>0</v>
      </c>
      <c r="K106" s="283">
        <f t="shared" si="44"/>
        <v>67.7</v>
      </c>
      <c r="L106" s="283">
        <f t="shared" si="44"/>
        <v>0</v>
      </c>
      <c r="M106" s="568">
        <f t="shared" si="44"/>
        <v>-7.2</v>
      </c>
      <c r="N106" s="568">
        <f t="shared" si="44"/>
        <v>0</v>
      </c>
      <c r="O106" s="132">
        <f t="shared" si="44"/>
        <v>0</v>
      </c>
      <c r="P106" s="132">
        <f t="shared" si="44"/>
        <v>0</v>
      </c>
      <c r="Q106" s="132">
        <f t="shared" si="44"/>
        <v>0</v>
      </c>
      <c r="R106" s="132">
        <f t="shared" si="44"/>
        <v>0</v>
      </c>
      <c r="S106" s="132">
        <f t="shared" si="32"/>
        <v>60.5</v>
      </c>
    </row>
    <row r="107" spans="1:19" s="77" customFormat="1" ht="31.5" x14ac:dyDescent="0.25">
      <c r="A107" s="264" t="s">
        <v>124</v>
      </c>
      <c r="B107" s="380" t="s">
        <v>22</v>
      </c>
      <c r="C107" s="488" t="s">
        <v>31</v>
      </c>
      <c r="D107" s="380" t="s">
        <v>36</v>
      </c>
      <c r="E107" s="265" t="s">
        <v>1163</v>
      </c>
      <c r="F107" s="380" t="s">
        <v>117</v>
      </c>
      <c r="G107" s="282"/>
      <c r="H107" s="303"/>
      <c r="I107" s="265"/>
      <c r="J107" s="282"/>
      <c r="K107" s="418">
        <f>67.68+0.02</f>
        <v>67.7</v>
      </c>
      <c r="L107" s="282"/>
      <c r="M107" s="570">
        <v>-7.2</v>
      </c>
      <c r="N107" s="570"/>
      <c r="O107" s="571"/>
      <c r="P107" s="571"/>
      <c r="Q107" s="571"/>
      <c r="R107" s="571"/>
      <c r="S107" s="566">
        <f t="shared" si="32"/>
        <v>60.5</v>
      </c>
    </row>
    <row r="108" spans="1:19" s="77" customFormat="1" ht="47.25" x14ac:dyDescent="0.25">
      <c r="A108" s="267" t="s">
        <v>1110</v>
      </c>
      <c r="B108" s="497" t="s">
        <v>22</v>
      </c>
      <c r="C108" s="496" t="s">
        <v>31</v>
      </c>
      <c r="D108" s="497" t="s">
        <v>36</v>
      </c>
      <c r="E108" s="285" t="s">
        <v>386</v>
      </c>
      <c r="F108" s="497" t="s">
        <v>9</v>
      </c>
      <c r="G108" s="283">
        <f t="shared" ref="G108:R109" si="45">G109</f>
        <v>368.8</v>
      </c>
      <c r="H108" s="283">
        <f t="shared" si="45"/>
        <v>0</v>
      </c>
      <c r="I108" s="283">
        <f t="shared" si="45"/>
        <v>0</v>
      </c>
      <c r="J108" s="283">
        <f t="shared" si="45"/>
        <v>0</v>
      </c>
      <c r="K108" s="283">
        <f t="shared" si="45"/>
        <v>0</v>
      </c>
      <c r="L108" s="283">
        <f t="shared" si="45"/>
        <v>0</v>
      </c>
      <c r="M108" s="568">
        <f t="shared" si="45"/>
        <v>0</v>
      </c>
      <c r="N108" s="568">
        <f t="shared" si="45"/>
        <v>0</v>
      </c>
      <c r="O108" s="569">
        <f t="shared" si="45"/>
        <v>0</v>
      </c>
      <c r="P108" s="569">
        <f t="shared" si="45"/>
        <v>0</v>
      </c>
      <c r="Q108" s="569">
        <f t="shared" si="45"/>
        <v>0</v>
      </c>
      <c r="R108" s="569">
        <f t="shared" si="45"/>
        <v>0</v>
      </c>
      <c r="S108" s="132">
        <f t="shared" si="32"/>
        <v>368.8</v>
      </c>
    </row>
    <row r="109" spans="1:19" s="77" customFormat="1" ht="94.5" x14ac:dyDescent="0.25">
      <c r="A109" s="267" t="s">
        <v>852</v>
      </c>
      <c r="B109" s="497" t="s">
        <v>22</v>
      </c>
      <c r="C109" s="496" t="s">
        <v>31</v>
      </c>
      <c r="D109" s="497" t="s">
        <v>36</v>
      </c>
      <c r="E109" s="285" t="s">
        <v>851</v>
      </c>
      <c r="F109" s="497" t="s">
        <v>9</v>
      </c>
      <c r="G109" s="283">
        <f t="shared" si="45"/>
        <v>368.8</v>
      </c>
      <c r="H109" s="283">
        <f t="shared" si="45"/>
        <v>0</v>
      </c>
      <c r="I109" s="283">
        <f t="shared" si="45"/>
        <v>0</v>
      </c>
      <c r="J109" s="283">
        <f t="shared" si="45"/>
        <v>0</v>
      </c>
      <c r="K109" s="283">
        <f t="shared" si="45"/>
        <v>0</v>
      </c>
      <c r="L109" s="283">
        <f t="shared" si="45"/>
        <v>0</v>
      </c>
      <c r="M109" s="568">
        <f t="shared" si="45"/>
        <v>0</v>
      </c>
      <c r="N109" s="568">
        <f t="shared" si="45"/>
        <v>0</v>
      </c>
      <c r="O109" s="569">
        <f t="shared" si="45"/>
        <v>0</v>
      </c>
      <c r="P109" s="569">
        <f t="shared" si="45"/>
        <v>0</v>
      </c>
      <c r="Q109" s="569">
        <f t="shared" si="45"/>
        <v>0</v>
      </c>
      <c r="R109" s="569">
        <f t="shared" si="45"/>
        <v>0</v>
      </c>
      <c r="S109" s="132">
        <f t="shared" si="32"/>
        <v>368.8</v>
      </c>
    </row>
    <row r="110" spans="1:19" s="77" customFormat="1" ht="63" x14ac:dyDescent="0.25">
      <c r="A110" s="264" t="s">
        <v>115</v>
      </c>
      <c r="B110" s="380" t="s">
        <v>22</v>
      </c>
      <c r="C110" s="488" t="s">
        <v>31</v>
      </c>
      <c r="D110" s="380" t="s">
        <v>36</v>
      </c>
      <c r="E110" s="265" t="s">
        <v>851</v>
      </c>
      <c r="F110" s="380" t="s">
        <v>113</v>
      </c>
      <c r="G110" s="363">
        <v>368.8</v>
      </c>
      <c r="H110" s="303"/>
      <c r="I110" s="265"/>
      <c r="J110" s="265"/>
      <c r="K110" s="265"/>
      <c r="L110" s="265"/>
      <c r="M110" s="570"/>
      <c r="N110" s="570"/>
      <c r="O110" s="571"/>
      <c r="P110" s="571"/>
      <c r="Q110" s="571"/>
      <c r="R110" s="571"/>
      <c r="S110" s="566">
        <f t="shared" si="32"/>
        <v>368.8</v>
      </c>
    </row>
    <row r="111" spans="1:19" s="77" customFormat="1" ht="47.25" x14ac:dyDescent="0.25">
      <c r="A111" s="267" t="s">
        <v>853</v>
      </c>
      <c r="B111" s="497" t="s">
        <v>22</v>
      </c>
      <c r="C111" s="496" t="s">
        <v>31</v>
      </c>
      <c r="D111" s="497" t="s">
        <v>36</v>
      </c>
      <c r="E111" s="285" t="s">
        <v>854</v>
      </c>
      <c r="F111" s="497" t="s">
        <v>9</v>
      </c>
      <c r="G111" s="283">
        <f t="shared" ref="G111:R111" si="46">G112</f>
        <v>10689.400000000001</v>
      </c>
      <c r="H111" s="283">
        <f t="shared" si="46"/>
        <v>0</v>
      </c>
      <c r="I111" s="283">
        <f t="shared" si="46"/>
        <v>-0.7</v>
      </c>
      <c r="J111" s="283">
        <f t="shared" si="46"/>
        <v>0</v>
      </c>
      <c r="K111" s="283">
        <f t="shared" si="46"/>
        <v>0</v>
      </c>
      <c r="L111" s="283">
        <f t="shared" si="46"/>
        <v>0</v>
      </c>
      <c r="M111" s="568">
        <f t="shared" si="46"/>
        <v>0</v>
      </c>
      <c r="N111" s="568">
        <f t="shared" si="46"/>
        <v>0</v>
      </c>
      <c r="O111" s="569">
        <f t="shared" si="46"/>
        <v>0</v>
      </c>
      <c r="P111" s="569">
        <f t="shared" si="46"/>
        <v>0</v>
      </c>
      <c r="Q111" s="569">
        <f t="shared" si="46"/>
        <v>0</v>
      </c>
      <c r="R111" s="569">
        <f t="shared" si="46"/>
        <v>0</v>
      </c>
      <c r="S111" s="132">
        <f t="shared" si="32"/>
        <v>10688.7</v>
      </c>
    </row>
    <row r="112" spans="1:19" s="77" customFormat="1" ht="31.5" x14ac:dyDescent="0.25">
      <c r="A112" s="264" t="s">
        <v>124</v>
      </c>
      <c r="B112" s="380" t="s">
        <v>22</v>
      </c>
      <c r="C112" s="488" t="s">
        <v>31</v>
      </c>
      <c r="D112" s="380" t="s">
        <v>36</v>
      </c>
      <c r="E112" s="265" t="s">
        <v>854</v>
      </c>
      <c r="F112" s="380" t="s">
        <v>117</v>
      </c>
      <c r="G112" s="360">
        <f>10643.6-61.8+107.6</f>
        <v>10689.400000000001</v>
      </c>
      <c r="H112" s="303"/>
      <c r="I112" s="265">
        <v>-0.7</v>
      </c>
      <c r="J112" s="265"/>
      <c r="K112" s="265"/>
      <c r="L112" s="265"/>
      <c r="M112" s="570"/>
      <c r="N112" s="570"/>
      <c r="O112" s="571"/>
      <c r="P112" s="571"/>
      <c r="Q112" s="571"/>
      <c r="R112" s="571"/>
      <c r="S112" s="566">
        <f t="shared" si="32"/>
        <v>10688.7</v>
      </c>
    </row>
    <row r="113" spans="1:21" s="77" customFormat="1" ht="94.5" x14ac:dyDescent="0.25">
      <c r="A113" s="267" t="s">
        <v>1152</v>
      </c>
      <c r="B113" s="497" t="s">
        <v>22</v>
      </c>
      <c r="C113" s="496" t="s">
        <v>31</v>
      </c>
      <c r="D113" s="497" t="s">
        <v>36</v>
      </c>
      <c r="E113" s="285" t="s">
        <v>855</v>
      </c>
      <c r="F113" s="497" t="s">
        <v>9</v>
      </c>
      <c r="G113" s="283">
        <f t="shared" ref="G113:R113" si="47">G114</f>
        <v>12967.9</v>
      </c>
      <c r="H113" s="283">
        <f t="shared" si="47"/>
        <v>0</v>
      </c>
      <c r="I113" s="283">
        <f t="shared" si="47"/>
        <v>0</v>
      </c>
      <c r="J113" s="283">
        <f t="shared" si="47"/>
        <v>0</v>
      </c>
      <c r="K113" s="283">
        <f t="shared" si="47"/>
        <v>0</v>
      </c>
      <c r="L113" s="283">
        <f t="shared" si="47"/>
        <v>0</v>
      </c>
      <c r="M113" s="568">
        <f t="shared" si="47"/>
        <v>0</v>
      </c>
      <c r="N113" s="568">
        <f t="shared" si="47"/>
        <v>0</v>
      </c>
      <c r="O113" s="569">
        <f t="shared" si="47"/>
        <v>0</v>
      </c>
      <c r="P113" s="569">
        <f t="shared" si="47"/>
        <v>0</v>
      </c>
      <c r="Q113" s="569">
        <f t="shared" si="47"/>
        <v>0</v>
      </c>
      <c r="R113" s="569">
        <f t="shared" si="47"/>
        <v>0</v>
      </c>
      <c r="S113" s="132">
        <f t="shared" si="32"/>
        <v>12967.9</v>
      </c>
    </row>
    <row r="114" spans="1:21" s="77" customFormat="1" ht="63" x14ac:dyDescent="0.25">
      <c r="A114" s="264" t="s">
        <v>115</v>
      </c>
      <c r="B114" s="380" t="s">
        <v>22</v>
      </c>
      <c r="C114" s="488" t="s">
        <v>31</v>
      </c>
      <c r="D114" s="380" t="s">
        <v>36</v>
      </c>
      <c r="E114" s="265" t="s">
        <v>855</v>
      </c>
      <c r="F114" s="380" t="s">
        <v>113</v>
      </c>
      <c r="G114" s="282">
        <v>12967.9</v>
      </c>
      <c r="H114" s="303"/>
      <c r="I114" s="265"/>
      <c r="J114" s="265"/>
      <c r="K114" s="265"/>
      <c r="L114" s="265"/>
      <c r="M114" s="570"/>
      <c r="N114" s="570"/>
      <c r="O114" s="571"/>
      <c r="P114" s="571"/>
      <c r="Q114" s="571"/>
      <c r="R114" s="571"/>
      <c r="S114" s="566">
        <f t="shared" si="32"/>
        <v>12967.9</v>
      </c>
    </row>
    <row r="115" spans="1:21" s="80" customFormat="1" ht="31.15" hidden="1" x14ac:dyDescent="0.3">
      <c r="A115" s="267" t="s">
        <v>784</v>
      </c>
      <c r="B115" s="497" t="s">
        <v>22</v>
      </c>
      <c r="C115" s="496" t="s">
        <v>31</v>
      </c>
      <c r="D115" s="497" t="s">
        <v>36</v>
      </c>
      <c r="E115" s="285" t="s">
        <v>380</v>
      </c>
      <c r="F115" s="497" t="s">
        <v>9</v>
      </c>
      <c r="G115" s="283">
        <f t="shared" ref="G115:R117" si="48">G116</f>
        <v>0</v>
      </c>
      <c r="H115" s="283">
        <f t="shared" si="48"/>
        <v>0</v>
      </c>
      <c r="I115" s="283">
        <f t="shared" si="48"/>
        <v>0</v>
      </c>
      <c r="J115" s="283">
        <f t="shared" si="48"/>
        <v>0</v>
      </c>
      <c r="K115" s="283">
        <f t="shared" si="48"/>
        <v>0</v>
      </c>
      <c r="L115" s="283">
        <f t="shared" si="48"/>
        <v>0</v>
      </c>
      <c r="M115" s="568">
        <f t="shared" si="48"/>
        <v>0</v>
      </c>
      <c r="N115" s="568">
        <f t="shared" si="48"/>
        <v>0</v>
      </c>
      <c r="O115" s="569">
        <f t="shared" si="48"/>
        <v>0</v>
      </c>
      <c r="P115" s="569">
        <f t="shared" si="48"/>
        <v>0</v>
      </c>
      <c r="Q115" s="569">
        <f t="shared" si="48"/>
        <v>0</v>
      </c>
      <c r="R115" s="569">
        <f t="shared" si="48"/>
        <v>0</v>
      </c>
      <c r="S115" s="132">
        <f t="shared" si="32"/>
        <v>0</v>
      </c>
    </row>
    <row r="116" spans="1:21" s="80" customFormat="1" ht="15.6" hidden="1" x14ac:dyDescent="0.3">
      <c r="A116" s="267" t="s">
        <v>692</v>
      </c>
      <c r="B116" s="497" t="s">
        <v>22</v>
      </c>
      <c r="C116" s="496" t="s">
        <v>31</v>
      </c>
      <c r="D116" s="497" t="s">
        <v>36</v>
      </c>
      <c r="E116" s="285" t="s">
        <v>381</v>
      </c>
      <c r="F116" s="497" t="s">
        <v>9</v>
      </c>
      <c r="G116" s="283">
        <f t="shared" si="48"/>
        <v>0</v>
      </c>
      <c r="H116" s="283">
        <f t="shared" si="48"/>
        <v>0</v>
      </c>
      <c r="I116" s="283">
        <f t="shared" si="48"/>
        <v>0</v>
      </c>
      <c r="J116" s="283">
        <f t="shared" si="48"/>
        <v>0</v>
      </c>
      <c r="K116" s="283">
        <f t="shared" si="48"/>
        <v>0</v>
      </c>
      <c r="L116" s="283">
        <f t="shared" si="48"/>
        <v>0</v>
      </c>
      <c r="M116" s="568">
        <f t="shared" si="48"/>
        <v>0</v>
      </c>
      <c r="N116" s="568">
        <f t="shared" si="48"/>
        <v>0</v>
      </c>
      <c r="O116" s="569">
        <f t="shared" si="48"/>
        <v>0</v>
      </c>
      <c r="P116" s="569">
        <f t="shared" si="48"/>
        <v>0</v>
      </c>
      <c r="Q116" s="569">
        <f t="shared" si="48"/>
        <v>0</v>
      </c>
      <c r="R116" s="569">
        <f t="shared" si="48"/>
        <v>0</v>
      </c>
      <c r="S116" s="132">
        <f t="shared" si="32"/>
        <v>0</v>
      </c>
    </row>
    <row r="117" spans="1:21" s="80" customFormat="1" ht="15.6" hidden="1" x14ac:dyDescent="0.3">
      <c r="A117" s="267" t="s">
        <v>133</v>
      </c>
      <c r="B117" s="497" t="s">
        <v>22</v>
      </c>
      <c r="C117" s="496" t="s">
        <v>31</v>
      </c>
      <c r="D117" s="497" t="s">
        <v>36</v>
      </c>
      <c r="E117" s="285" t="s">
        <v>382</v>
      </c>
      <c r="F117" s="497" t="s">
        <v>9</v>
      </c>
      <c r="G117" s="283">
        <f t="shared" si="48"/>
        <v>0</v>
      </c>
      <c r="H117" s="283">
        <f t="shared" si="48"/>
        <v>0</v>
      </c>
      <c r="I117" s="283">
        <f t="shared" si="48"/>
        <v>0</v>
      </c>
      <c r="J117" s="283">
        <f t="shared" si="48"/>
        <v>0</v>
      </c>
      <c r="K117" s="283">
        <f t="shared" si="48"/>
        <v>0</v>
      </c>
      <c r="L117" s="283">
        <f t="shared" si="48"/>
        <v>0</v>
      </c>
      <c r="M117" s="568">
        <f t="shared" si="48"/>
        <v>0</v>
      </c>
      <c r="N117" s="568">
        <f t="shared" si="48"/>
        <v>0</v>
      </c>
      <c r="O117" s="569">
        <f t="shared" si="48"/>
        <v>0</v>
      </c>
      <c r="P117" s="569">
        <f t="shared" si="48"/>
        <v>0</v>
      </c>
      <c r="Q117" s="569">
        <f t="shared" si="48"/>
        <v>0</v>
      </c>
      <c r="R117" s="569">
        <f t="shared" si="48"/>
        <v>0</v>
      </c>
      <c r="S117" s="132">
        <f t="shared" si="32"/>
        <v>0</v>
      </c>
    </row>
    <row r="118" spans="1:21" s="77" customFormat="1" ht="62.45" hidden="1" x14ac:dyDescent="0.3">
      <c r="A118" s="264" t="s">
        <v>115</v>
      </c>
      <c r="B118" s="380" t="s">
        <v>22</v>
      </c>
      <c r="C118" s="488" t="s">
        <v>31</v>
      </c>
      <c r="D118" s="380" t="s">
        <v>36</v>
      </c>
      <c r="E118" s="265" t="s">
        <v>382</v>
      </c>
      <c r="F118" s="380" t="s">
        <v>113</v>
      </c>
      <c r="G118" s="282"/>
      <c r="H118" s="303"/>
      <c r="I118" s="265"/>
      <c r="J118" s="265"/>
      <c r="K118" s="265"/>
      <c r="L118" s="265"/>
      <c r="M118" s="570"/>
      <c r="N118" s="570"/>
      <c r="O118" s="571"/>
      <c r="P118" s="571"/>
      <c r="Q118" s="571"/>
      <c r="R118" s="571"/>
      <c r="S118" s="131">
        <f t="shared" si="32"/>
        <v>0</v>
      </c>
    </row>
    <row r="119" spans="1:21" s="80" customFormat="1" x14ac:dyDescent="0.25">
      <c r="A119" s="267" t="s">
        <v>516</v>
      </c>
      <c r="B119" s="497" t="s">
        <v>22</v>
      </c>
      <c r="C119" s="496" t="s">
        <v>31</v>
      </c>
      <c r="D119" s="497" t="s">
        <v>20</v>
      </c>
      <c r="E119" s="285" t="s">
        <v>365</v>
      </c>
      <c r="F119" s="497" t="s">
        <v>9</v>
      </c>
      <c r="G119" s="282">
        <f t="shared" ref="G119:R119" si="49">G120</f>
        <v>0</v>
      </c>
      <c r="H119" s="282">
        <f t="shared" si="49"/>
        <v>19375.399999999994</v>
      </c>
      <c r="I119" s="282">
        <f t="shared" si="49"/>
        <v>-13.616</v>
      </c>
      <c r="J119" s="282">
        <f t="shared" si="49"/>
        <v>64</v>
      </c>
      <c r="K119" s="282">
        <f t="shared" si="49"/>
        <v>1393.9099999999999</v>
      </c>
      <c r="L119" s="282">
        <f t="shared" si="49"/>
        <v>20.8</v>
      </c>
      <c r="M119" s="566">
        <f t="shared" si="49"/>
        <v>0</v>
      </c>
      <c r="N119" s="566">
        <f t="shared" si="49"/>
        <v>-15.612</v>
      </c>
      <c r="O119" s="569">
        <f t="shared" si="49"/>
        <v>0</v>
      </c>
      <c r="P119" s="569">
        <f t="shared" si="49"/>
        <v>0</v>
      </c>
      <c r="Q119" s="569">
        <f t="shared" si="49"/>
        <v>0</v>
      </c>
      <c r="R119" s="569">
        <f t="shared" si="49"/>
        <v>0</v>
      </c>
      <c r="S119" s="132">
        <f t="shared" si="32"/>
        <v>20824.881999999991</v>
      </c>
      <c r="T119" s="77"/>
      <c r="U119" s="77"/>
    </row>
    <row r="120" spans="1:21" s="80" customFormat="1" ht="31.5" x14ac:dyDescent="0.25">
      <c r="A120" s="267" t="s">
        <v>783</v>
      </c>
      <c r="B120" s="497" t="s">
        <v>22</v>
      </c>
      <c r="C120" s="496" t="s">
        <v>31</v>
      </c>
      <c r="D120" s="497" t="s">
        <v>20</v>
      </c>
      <c r="E120" s="285" t="s">
        <v>366</v>
      </c>
      <c r="F120" s="497" t="s">
        <v>9</v>
      </c>
      <c r="G120" s="283">
        <f t="shared" ref="G120:R120" si="50">G121+G132+G140+G135+G138</f>
        <v>0</v>
      </c>
      <c r="H120" s="283">
        <f t="shared" si="50"/>
        <v>19375.399999999994</v>
      </c>
      <c r="I120" s="283">
        <f t="shared" si="50"/>
        <v>-13.616</v>
      </c>
      <c r="J120" s="283">
        <f t="shared" si="50"/>
        <v>64</v>
      </c>
      <c r="K120" s="283">
        <f t="shared" si="50"/>
        <v>1393.9099999999999</v>
      </c>
      <c r="L120" s="283">
        <f t="shared" si="50"/>
        <v>20.8</v>
      </c>
      <c r="M120" s="568">
        <f t="shared" si="50"/>
        <v>0</v>
      </c>
      <c r="N120" s="568">
        <f t="shared" si="50"/>
        <v>-15.612</v>
      </c>
      <c r="O120" s="132">
        <f t="shared" si="50"/>
        <v>0</v>
      </c>
      <c r="P120" s="132">
        <f t="shared" si="50"/>
        <v>0</v>
      </c>
      <c r="Q120" s="132">
        <f t="shared" si="50"/>
        <v>0</v>
      </c>
      <c r="R120" s="132">
        <f t="shared" si="50"/>
        <v>0</v>
      </c>
      <c r="S120" s="132">
        <f t="shared" si="32"/>
        <v>20824.881999999991</v>
      </c>
    </row>
    <row r="121" spans="1:21" s="80" customFormat="1" ht="31.5" x14ac:dyDescent="0.25">
      <c r="A121" s="267" t="s">
        <v>567</v>
      </c>
      <c r="B121" s="497" t="s">
        <v>22</v>
      </c>
      <c r="C121" s="496" t="s">
        <v>31</v>
      </c>
      <c r="D121" s="497" t="s">
        <v>20</v>
      </c>
      <c r="E121" s="285" t="s">
        <v>376</v>
      </c>
      <c r="F121" s="497" t="s">
        <v>9</v>
      </c>
      <c r="G121" s="283">
        <f t="shared" ref="G121:R121" si="51">G122+G126+G130</f>
        <v>0</v>
      </c>
      <c r="H121" s="283">
        <f t="shared" si="51"/>
        <v>18753.799999999996</v>
      </c>
      <c r="I121" s="283">
        <f t="shared" si="51"/>
        <v>-13.616</v>
      </c>
      <c r="J121" s="283">
        <f t="shared" si="51"/>
        <v>64</v>
      </c>
      <c r="K121" s="283">
        <f t="shared" si="51"/>
        <v>1333.9099999999999</v>
      </c>
      <c r="L121" s="283">
        <f t="shared" si="51"/>
        <v>20.8</v>
      </c>
      <c r="M121" s="568">
        <f t="shared" si="51"/>
        <v>0</v>
      </c>
      <c r="N121" s="568">
        <f t="shared" si="51"/>
        <v>-15.612</v>
      </c>
      <c r="O121" s="569">
        <f t="shared" si="51"/>
        <v>0</v>
      </c>
      <c r="P121" s="569">
        <f t="shared" si="51"/>
        <v>0</v>
      </c>
      <c r="Q121" s="569">
        <f t="shared" si="51"/>
        <v>0</v>
      </c>
      <c r="R121" s="569">
        <f t="shared" si="51"/>
        <v>0</v>
      </c>
      <c r="S121" s="132">
        <f t="shared" si="32"/>
        <v>20143.281999999992</v>
      </c>
    </row>
    <row r="122" spans="1:21" s="80" customFormat="1" x14ac:dyDescent="0.25">
      <c r="A122" s="267" t="s">
        <v>38</v>
      </c>
      <c r="B122" s="497" t="s">
        <v>22</v>
      </c>
      <c r="C122" s="496" t="s">
        <v>31</v>
      </c>
      <c r="D122" s="497" t="s">
        <v>20</v>
      </c>
      <c r="E122" s="285" t="s">
        <v>377</v>
      </c>
      <c r="F122" s="497" t="s">
        <v>9</v>
      </c>
      <c r="G122" s="283">
        <f t="shared" ref="G122:R122" si="52">G123+G124+G125</f>
        <v>0</v>
      </c>
      <c r="H122" s="283">
        <f t="shared" si="52"/>
        <v>13753.799999999996</v>
      </c>
      <c r="I122" s="283">
        <f t="shared" si="52"/>
        <v>-13.616</v>
      </c>
      <c r="J122" s="283">
        <f t="shared" si="52"/>
        <v>64</v>
      </c>
      <c r="K122" s="283">
        <f t="shared" si="52"/>
        <v>-2685.29</v>
      </c>
      <c r="L122" s="283">
        <f t="shared" si="52"/>
        <v>20.8</v>
      </c>
      <c r="M122" s="568">
        <f t="shared" si="52"/>
        <v>0</v>
      </c>
      <c r="N122" s="568">
        <f t="shared" si="52"/>
        <v>-15.612</v>
      </c>
      <c r="O122" s="569">
        <f t="shared" si="52"/>
        <v>0</v>
      </c>
      <c r="P122" s="569">
        <f t="shared" si="52"/>
        <v>0</v>
      </c>
      <c r="Q122" s="569">
        <f t="shared" si="52"/>
        <v>0</v>
      </c>
      <c r="R122" s="569">
        <f t="shared" si="52"/>
        <v>0</v>
      </c>
      <c r="S122" s="132">
        <f t="shared" si="32"/>
        <v>11124.081999999997</v>
      </c>
    </row>
    <row r="123" spans="1:21" s="77" customFormat="1" ht="63" x14ac:dyDescent="0.25">
      <c r="A123" s="264" t="s">
        <v>115</v>
      </c>
      <c r="B123" s="380" t="s">
        <v>22</v>
      </c>
      <c r="C123" s="488" t="s">
        <v>31</v>
      </c>
      <c r="D123" s="380" t="s">
        <v>20</v>
      </c>
      <c r="E123" s="265" t="s">
        <v>377</v>
      </c>
      <c r="F123" s="380" t="s">
        <v>113</v>
      </c>
      <c r="G123" s="282"/>
      <c r="H123" s="303">
        <f>958.7+33925.6-5000-18939</f>
        <v>10945.299999999996</v>
      </c>
      <c r="I123" s="265">
        <v>1.1000000000000001</v>
      </c>
      <c r="J123" s="265"/>
      <c r="K123" s="419">
        <v>-2685</v>
      </c>
      <c r="L123" s="419">
        <v>7.7</v>
      </c>
      <c r="M123" s="570"/>
      <c r="N123" s="570">
        <f>2.788+9.35</f>
        <v>12.138</v>
      </c>
      <c r="O123" s="571"/>
      <c r="P123" s="571"/>
      <c r="Q123" s="571"/>
      <c r="R123" s="571"/>
      <c r="S123" s="566">
        <f t="shared" si="32"/>
        <v>8281.2379999999976</v>
      </c>
    </row>
    <row r="124" spans="1:21" s="77" customFormat="1" ht="31.5" x14ac:dyDescent="0.25">
      <c r="A124" s="264" t="s">
        <v>124</v>
      </c>
      <c r="B124" s="380" t="s">
        <v>22</v>
      </c>
      <c r="C124" s="488" t="s">
        <v>31</v>
      </c>
      <c r="D124" s="380" t="s">
        <v>20</v>
      </c>
      <c r="E124" s="265" t="s">
        <v>377</v>
      </c>
      <c r="F124" s="601" t="s">
        <v>117</v>
      </c>
      <c r="G124" s="282"/>
      <c r="H124" s="303">
        <f>1028.9+3509.3-1826.5</f>
        <v>2711.7000000000007</v>
      </c>
      <c r="I124" s="265">
        <v>-14.715999999999999</v>
      </c>
      <c r="J124" s="303">
        <v>64</v>
      </c>
      <c r="K124" s="265">
        <v>-0.28999999999999998</v>
      </c>
      <c r="L124" s="419">
        <v>13.1</v>
      </c>
      <c r="M124" s="570"/>
      <c r="N124" s="622">
        <f>-48.3+29.9-9.35</f>
        <v>-27.75</v>
      </c>
      <c r="O124" s="571"/>
      <c r="P124" s="571"/>
      <c r="Q124" s="571"/>
      <c r="R124" s="571"/>
      <c r="S124" s="566">
        <f t="shared" si="32"/>
        <v>2746.0440000000008</v>
      </c>
    </row>
    <row r="125" spans="1:21" s="77" customFormat="1" x14ac:dyDescent="0.25">
      <c r="A125" s="264" t="s">
        <v>116</v>
      </c>
      <c r="B125" s="380" t="s">
        <v>22</v>
      </c>
      <c r="C125" s="488" t="s">
        <v>31</v>
      </c>
      <c r="D125" s="380" t="s">
        <v>20</v>
      </c>
      <c r="E125" s="265" t="s">
        <v>377</v>
      </c>
      <c r="F125" s="380" t="s">
        <v>114</v>
      </c>
      <c r="G125" s="282"/>
      <c r="H125" s="303">
        <f>118.5-21.7</f>
        <v>96.8</v>
      </c>
      <c r="I125" s="265"/>
      <c r="J125" s="265"/>
      <c r="K125" s="265"/>
      <c r="L125" s="265"/>
      <c r="M125" s="570"/>
      <c r="N125" s="570"/>
      <c r="O125" s="571"/>
      <c r="P125" s="571"/>
      <c r="Q125" s="571"/>
      <c r="R125" s="571"/>
      <c r="S125" s="566">
        <f t="shared" si="32"/>
        <v>96.8</v>
      </c>
    </row>
    <row r="126" spans="1:21" s="80" customFormat="1" x14ac:dyDescent="0.25">
      <c r="A126" s="267" t="s">
        <v>38</v>
      </c>
      <c r="B126" s="497" t="s">
        <v>22</v>
      </c>
      <c r="C126" s="496" t="s">
        <v>31</v>
      </c>
      <c r="D126" s="497" t="s">
        <v>20</v>
      </c>
      <c r="E126" s="285" t="s">
        <v>522</v>
      </c>
      <c r="F126" s="497" t="s">
        <v>9</v>
      </c>
      <c r="G126" s="283">
        <f t="shared" ref="G126:R126" si="53">G128+G129+G127</f>
        <v>0</v>
      </c>
      <c r="H126" s="283">
        <f t="shared" si="53"/>
        <v>5000</v>
      </c>
      <c r="I126" s="283">
        <f t="shared" si="53"/>
        <v>0</v>
      </c>
      <c r="J126" s="283">
        <f t="shared" si="53"/>
        <v>0</v>
      </c>
      <c r="K126" s="283">
        <f t="shared" si="53"/>
        <v>4019.2</v>
      </c>
      <c r="L126" s="283">
        <f t="shared" si="53"/>
        <v>0</v>
      </c>
      <c r="M126" s="568">
        <f t="shared" si="53"/>
        <v>0</v>
      </c>
      <c r="N126" s="568">
        <f t="shared" si="53"/>
        <v>0</v>
      </c>
      <c r="O126" s="569">
        <f t="shared" si="53"/>
        <v>0</v>
      </c>
      <c r="P126" s="569">
        <f t="shared" si="53"/>
        <v>0</v>
      </c>
      <c r="Q126" s="569">
        <f t="shared" si="53"/>
        <v>0</v>
      </c>
      <c r="R126" s="569">
        <f t="shared" si="53"/>
        <v>0</v>
      </c>
      <c r="S126" s="132">
        <f t="shared" si="32"/>
        <v>9019.2000000000007</v>
      </c>
    </row>
    <row r="127" spans="1:21" s="77" customFormat="1" ht="63" x14ac:dyDescent="0.25">
      <c r="A127" s="264" t="s">
        <v>115</v>
      </c>
      <c r="B127" s="380" t="s">
        <v>22</v>
      </c>
      <c r="C127" s="488" t="s">
        <v>31</v>
      </c>
      <c r="D127" s="380" t="s">
        <v>20</v>
      </c>
      <c r="E127" s="265" t="s">
        <v>522</v>
      </c>
      <c r="F127" s="380" t="s">
        <v>113</v>
      </c>
      <c r="G127" s="282"/>
      <c r="H127" s="303">
        <v>5000</v>
      </c>
      <c r="I127" s="265"/>
      <c r="J127" s="282"/>
      <c r="K127" s="419">
        <v>4019.2</v>
      </c>
      <c r="L127" s="265"/>
      <c r="M127" s="570"/>
      <c r="N127" s="570"/>
      <c r="O127" s="571"/>
      <c r="P127" s="571"/>
      <c r="Q127" s="571"/>
      <c r="R127" s="571"/>
      <c r="S127" s="566">
        <f t="shared" si="32"/>
        <v>9019.2000000000007</v>
      </c>
    </row>
    <row r="128" spans="1:21" s="77" customFormat="1" ht="31.15" hidden="1" x14ac:dyDescent="0.3">
      <c r="A128" s="264" t="s">
        <v>124</v>
      </c>
      <c r="B128" s="380" t="s">
        <v>22</v>
      </c>
      <c r="C128" s="488" t="s">
        <v>31</v>
      </c>
      <c r="D128" s="380" t="s">
        <v>20</v>
      </c>
      <c r="E128" s="265" t="s">
        <v>522</v>
      </c>
      <c r="F128" s="380" t="s">
        <v>117</v>
      </c>
      <c r="G128" s="282"/>
      <c r="H128" s="303"/>
      <c r="I128" s="265"/>
      <c r="J128" s="265"/>
      <c r="K128" s="265"/>
      <c r="L128" s="265"/>
      <c r="M128" s="570"/>
      <c r="N128" s="570"/>
      <c r="O128" s="571"/>
      <c r="P128" s="571"/>
      <c r="Q128" s="571"/>
      <c r="R128" s="571"/>
      <c r="S128" s="131">
        <f t="shared" si="32"/>
        <v>0</v>
      </c>
    </row>
    <row r="129" spans="1:239" s="77" customFormat="1" ht="15.6" hidden="1" x14ac:dyDescent="0.3">
      <c r="A129" s="264" t="s">
        <v>116</v>
      </c>
      <c r="B129" s="380" t="s">
        <v>22</v>
      </c>
      <c r="C129" s="488" t="s">
        <v>31</v>
      </c>
      <c r="D129" s="380" t="s">
        <v>20</v>
      </c>
      <c r="E129" s="265" t="s">
        <v>522</v>
      </c>
      <c r="F129" s="380" t="s">
        <v>114</v>
      </c>
      <c r="G129" s="282"/>
      <c r="H129" s="303"/>
      <c r="I129" s="265"/>
      <c r="J129" s="265"/>
      <c r="K129" s="265"/>
      <c r="L129" s="265"/>
      <c r="M129" s="570"/>
      <c r="N129" s="570"/>
      <c r="O129" s="571"/>
      <c r="P129" s="571"/>
      <c r="Q129" s="571"/>
      <c r="R129" s="571"/>
      <c r="S129" s="131">
        <f t="shared" si="32"/>
        <v>0</v>
      </c>
    </row>
    <row r="130" spans="1:239" s="80" customFormat="1" ht="15.6" hidden="1" x14ac:dyDescent="0.3">
      <c r="A130" s="267" t="s">
        <v>38</v>
      </c>
      <c r="B130" s="497" t="s">
        <v>22</v>
      </c>
      <c r="C130" s="496" t="s">
        <v>31</v>
      </c>
      <c r="D130" s="497" t="s">
        <v>20</v>
      </c>
      <c r="E130" s="285" t="s">
        <v>526</v>
      </c>
      <c r="F130" s="497" t="s">
        <v>9</v>
      </c>
      <c r="G130" s="283">
        <f t="shared" ref="G130:R130" si="54">G131</f>
        <v>0</v>
      </c>
      <c r="H130" s="283">
        <f t="shared" si="54"/>
        <v>0</v>
      </c>
      <c r="I130" s="283">
        <f t="shared" si="54"/>
        <v>0</v>
      </c>
      <c r="J130" s="283">
        <f t="shared" si="54"/>
        <v>0</v>
      </c>
      <c r="K130" s="283">
        <f t="shared" si="54"/>
        <v>0</v>
      </c>
      <c r="L130" s="283">
        <f t="shared" si="54"/>
        <v>0</v>
      </c>
      <c r="M130" s="568">
        <f t="shared" si="54"/>
        <v>0</v>
      </c>
      <c r="N130" s="568">
        <f t="shared" si="54"/>
        <v>0</v>
      </c>
      <c r="O130" s="569">
        <f t="shared" si="54"/>
        <v>0</v>
      </c>
      <c r="P130" s="569">
        <f t="shared" si="54"/>
        <v>0</v>
      </c>
      <c r="Q130" s="569">
        <f t="shared" si="54"/>
        <v>0</v>
      </c>
      <c r="R130" s="569">
        <f t="shared" si="54"/>
        <v>0</v>
      </c>
      <c r="S130" s="132">
        <f t="shared" si="32"/>
        <v>0</v>
      </c>
    </row>
    <row r="131" spans="1:239" s="77" customFormat="1" ht="62.45" hidden="1" x14ac:dyDescent="0.3">
      <c r="A131" s="264" t="s">
        <v>115</v>
      </c>
      <c r="B131" s="380" t="s">
        <v>22</v>
      </c>
      <c r="C131" s="488" t="s">
        <v>31</v>
      </c>
      <c r="D131" s="380" t="s">
        <v>20</v>
      </c>
      <c r="E131" s="265" t="s">
        <v>526</v>
      </c>
      <c r="F131" s="380" t="s">
        <v>113</v>
      </c>
      <c r="G131" s="282"/>
      <c r="H131" s="303"/>
      <c r="I131" s="265"/>
      <c r="J131" s="265"/>
      <c r="K131" s="265"/>
      <c r="L131" s="265"/>
      <c r="M131" s="570"/>
      <c r="N131" s="570"/>
      <c r="O131" s="571"/>
      <c r="P131" s="571"/>
      <c r="Q131" s="571"/>
      <c r="R131" s="571"/>
      <c r="S131" s="131">
        <f t="shared" si="32"/>
        <v>0</v>
      </c>
    </row>
    <row r="132" spans="1:239" s="80" customFormat="1" ht="31.5" x14ac:dyDescent="0.25">
      <c r="A132" s="267" t="s">
        <v>1156</v>
      </c>
      <c r="B132" s="497" t="s">
        <v>22</v>
      </c>
      <c r="C132" s="496" t="s">
        <v>31</v>
      </c>
      <c r="D132" s="497" t="s">
        <v>20</v>
      </c>
      <c r="E132" s="285" t="s">
        <v>378</v>
      </c>
      <c r="F132" s="497" t="s">
        <v>9</v>
      </c>
      <c r="G132" s="283">
        <f t="shared" ref="G132:R132" si="55">G133+G134</f>
        <v>0</v>
      </c>
      <c r="H132" s="283">
        <f t="shared" si="55"/>
        <v>621.6</v>
      </c>
      <c r="I132" s="283">
        <f t="shared" si="55"/>
        <v>0</v>
      </c>
      <c r="J132" s="283">
        <f t="shared" si="55"/>
        <v>0</v>
      </c>
      <c r="K132" s="283">
        <f t="shared" si="55"/>
        <v>0</v>
      </c>
      <c r="L132" s="283">
        <f t="shared" si="55"/>
        <v>0</v>
      </c>
      <c r="M132" s="568">
        <f t="shared" si="55"/>
        <v>0</v>
      </c>
      <c r="N132" s="568">
        <f t="shared" si="55"/>
        <v>0</v>
      </c>
      <c r="O132" s="569">
        <f t="shared" si="55"/>
        <v>0</v>
      </c>
      <c r="P132" s="569">
        <f t="shared" si="55"/>
        <v>0</v>
      </c>
      <c r="Q132" s="569">
        <f t="shared" si="55"/>
        <v>0</v>
      </c>
      <c r="R132" s="569">
        <f t="shared" si="55"/>
        <v>0</v>
      </c>
      <c r="S132" s="132">
        <f t="shared" si="32"/>
        <v>621.6</v>
      </c>
    </row>
    <row r="133" spans="1:239" s="77" customFormat="1" ht="31.15" hidden="1" x14ac:dyDescent="0.3">
      <c r="A133" s="264" t="s">
        <v>124</v>
      </c>
      <c r="B133" s="380" t="s">
        <v>22</v>
      </c>
      <c r="C133" s="488" t="s">
        <v>31</v>
      </c>
      <c r="D133" s="380" t="s">
        <v>20</v>
      </c>
      <c r="E133" s="265" t="s">
        <v>378</v>
      </c>
      <c r="F133" s="380" t="s">
        <v>117</v>
      </c>
      <c r="G133" s="282"/>
      <c r="H133" s="303"/>
      <c r="I133" s="265"/>
      <c r="J133" s="265"/>
      <c r="K133" s="265"/>
      <c r="L133" s="265"/>
      <c r="M133" s="570"/>
      <c r="N133" s="570"/>
      <c r="O133" s="571"/>
      <c r="P133" s="571"/>
      <c r="Q133" s="571"/>
      <c r="R133" s="571"/>
      <c r="S133" s="131">
        <f t="shared" si="32"/>
        <v>0</v>
      </c>
    </row>
    <row r="134" spans="1:239" s="77" customFormat="1" ht="31.5" x14ac:dyDescent="0.25">
      <c r="A134" s="264" t="s">
        <v>843</v>
      </c>
      <c r="B134" s="380" t="s">
        <v>22</v>
      </c>
      <c r="C134" s="488" t="s">
        <v>31</v>
      </c>
      <c r="D134" s="380" t="s">
        <v>20</v>
      </c>
      <c r="E134" s="265" t="s">
        <v>378</v>
      </c>
      <c r="F134" s="380" t="s">
        <v>490</v>
      </c>
      <c r="G134" s="282"/>
      <c r="H134" s="303">
        <v>621.6</v>
      </c>
      <c r="I134" s="265"/>
      <c r="J134" s="265"/>
      <c r="K134" s="265"/>
      <c r="L134" s="265"/>
      <c r="M134" s="570"/>
      <c r="N134" s="570"/>
      <c r="O134" s="571"/>
      <c r="P134" s="571"/>
      <c r="Q134" s="571"/>
      <c r="R134" s="571"/>
      <c r="S134" s="566">
        <f t="shared" si="32"/>
        <v>621.6</v>
      </c>
    </row>
    <row r="135" spans="1:239" s="77" customFormat="1" ht="47.25" x14ac:dyDescent="0.25">
      <c r="A135" s="267" t="s">
        <v>41</v>
      </c>
      <c r="B135" s="497" t="s">
        <v>22</v>
      </c>
      <c r="C135" s="496" t="s">
        <v>31</v>
      </c>
      <c r="D135" s="497" t="s">
        <v>20</v>
      </c>
      <c r="E135" s="285" t="s">
        <v>383</v>
      </c>
      <c r="F135" s="497" t="s">
        <v>9</v>
      </c>
      <c r="G135" s="282">
        <f t="shared" ref="G135:R136" si="56">G136</f>
        <v>0</v>
      </c>
      <c r="H135" s="282">
        <f t="shared" si="56"/>
        <v>0</v>
      </c>
      <c r="I135" s="282">
        <f t="shared" si="56"/>
        <v>0</v>
      </c>
      <c r="J135" s="282">
        <f t="shared" si="56"/>
        <v>0</v>
      </c>
      <c r="K135" s="282">
        <f t="shared" si="56"/>
        <v>59.4</v>
      </c>
      <c r="L135" s="282">
        <f t="shared" si="56"/>
        <v>0</v>
      </c>
      <c r="M135" s="566">
        <f t="shared" si="56"/>
        <v>0</v>
      </c>
      <c r="N135" s="566">
        <f t="shared" si="56"/>
        <v>0</v>
      </c>
      <c r="O135" s="131">
        <f t="shared" si="56"/>
        <v>0</v>
      </c>
      <c r="P135" s="131">
        <f t="shared" si="56"/>
        <v>0</v>
      </c>
      <c r="Q135" s="131">
        <f t="shared" si="56"/>
        <v>0</v>
      </c>
      <c r="R135" s="131">
        <f t="shared" si="56"/>
        <v>0</v>
      </c>
      <c r="S135" s="132">
        <f t="shared" si="32"/>
        <v>59.4</v>
      </c>
    </row>
    <row r="136" spans="1:239" s="77" customFormat="1" ht="63" x14ac:dyDescent="0.25">
      <c r="A136" s="267" t="s">
        <v>808</v>
      </c>
      <c r="B136" s="497" t="s">
        <v>22</v>
      </c>
      <c r="C136" s="496" t="s">
        <v>31</v>
      </c>
      <c r="D136" s="497" t="s">
        <v>20</v>
      </c>
      <c r="E136" s="285" t="s">
        <v>807</v>
      </c>
      <c r="F136" s="497" t="s">
        <v>9</v>
      </c>
      <c r="G136" s="282">
        <f t="shared" si="56"/>
        <v>0</v>
      </c>
      <c r="H136" s="282">
        <f t="shared" si="56"/>
        <v>0</v>
      </c>
      <c r="I136" s="282">
        <f t="shared" si="56"/>
        <v>0</v>
      </c>
      <c r="J136" s="282">
        <f t="shared" si="56"/>
        <v>0</v>
      </c>
      <c r="K136" s="282">
        <f t="shared" si="56"/>
        <v>59.4</v>
      </c>
      <c r="L136" s="282">
        <f t="shared" si="56"/>
        <v>0</v>
      </c>
      <c r="M136" s="566">
        <f t="shared" si="56"/>
        <v>0</v>
      </c>
      <c r="N136" s="566">
        <f t="shared" si="56"/>
        <v>0</v>
      </c>
      <c r="O136" s="131">
        <f t="shared" si="56"/>
        <v>0</v>
      </c>
      <c r="P136" s="131">
        <f t="shared" si="56"/>
        <v>0</v>
      </c>
      <c r="Q136" s="131">
        <f t="shared" si="56"/>
        <v>0</v>
      </c>
      <c r="R136" s="131">
        <f t="shared" si="56"/>
        <v>0</v>
      </c>
      <c r="S136" s="132">
        <f t="shared" si="32"/>
        <v>59.4</v>
      </c>
    </row>
    <row r="137" spans="1:239" s="77" customFormat="1" ht="31.5" x14ac:dyDescent="0.25">
      <c r="A137" s="264" t="s">
        <v>124</v>
      </c>
      <c r="B137" s="380" t="s">
        <v>22</v>
      </c>
      <c r="C137" s="488" t="s">
        <v>31</v>
      </c>
      <c r="D137" s="380" t="s">
        <v>20</v>
      </c>
      <c r="E137" s="265" t="s">
        <v>807</v>
      </c>
      <c r="F137" s="380" t="s">
        <v>117</v>
      </c>
      <c r="G137" s="282"/>
      <c r="H137" s="303"/>
      <c r="I137" s="393"/>
      <c r="J137" s="282"/>
      <c r="K137" s="265">
        <v>59.4</v>
      </c>
      <c r="L137" s="265"/>
      <c r="M137" s="570"/>
      <c r="N137" s="570"/>
      <c r="O137" s="571"/>
      <c r="P137" s="571"/>
      <c r="Q137" s="571"/>
      <c r="R137" s="571"/>
      <c r="S137" s="566">
        <f t="shared" si="32"/>
        <v>59.4</v>
      </c>
    </row>
    <row r="138" spans="1:239" s="77" customFormat="1" ht="63" x14ac:dyDescent="0.25">
      <c r="A138" s="267" t="s">
        <v>808</v>
      </c>
      <c r="B138" s="497" t="s">
        <v>22</v>
      </c>
      <c r="C138" s="496" t="s">
        <v>31</v>
      </c>
      <c r="D138" s="497" t="s">
        <v>20</v>
      </c>
      <c r="E138" s="285" t="s">
        <v>809</v>
      </c>
      <c r="F138" s="497" t="s">
        <v>9</v>
      </c>
      <c r="G138" s="283">
        <f t="shared" ref="G138:R138" si="57">G139</f>
        <v>0</v>
      </c>
      <c r="H138" s="283">
        <f t="shared" si="57"/>
        <v>0</v>
      </c>
      <c r="I138" s="283">
        <f t="shared" si="57"/>
        <v>0</v>
      </c>
      <c r="J138" s="283">
        <f t="shared" si="57"/>
        <v>0</v>
      </c>
      <c r="K138" s="283">
        <f t="shared" si="57"/>
        <v>0.6</v>
      </c>
      <c r="L138" s="283">
        <f t="shared" si="57"/>
        <v>0</v>
      </c>
      <c r="M138" s="568">
        <f t="shared" si="57"/>
        <v>0</v>
      </c>
      <c r="N138" s="568">
        <f t="shared" si="57"/>
        <v>0</v>
      </c>
      <c r="O138" s="132">
        <f t="shared" si="57"/>
        <v>0</v>
      </c>
      <c r="P138" s="132">
        <f t="shared" si="57"/>
        <v>0</v>
      </c>
      <c r="Q138" s="132">
        <f t="shared" si="57"/>
        <v>0</v>
      </c>
      <c r="R138" s="132">
        <f t="shared" si="57"/>
        <v>0</v>
      </c>
      <c r="S138" s="132">
        <f t="shared" si="32"/>
        <v>0.6</v>
      </c>
    </row>
    <row r="139" spans="1:239" s="77" customFormat="1" ht="31.5" x14ac:dyDescent="0.25">
      <c r="A139" s="264" t="s">
        <v>124</v>
      </c>
      <c r="B139" s="380" t="s">
        <v>22</v>
      </c>
      <c r="C139" s="488" t="s">
        <v>31</v>
      </c>
      <c r="D139" s="380" t="s">
        <v>20</v>
      </c>
      <c r="E139" s="265" t="s">
        <v>809</v>
      </c>
      <c r="F139" s="380" t="s">
        <v>117</v>
      </c>
      <c r="G139" s="282"/>
      <c r="H139" s="303"/>
      <c r="I139" s="393"/>
      <c r="J139" s="282"/>
      <c r="K139" s="265">
        <f>0.31+0.29</f>
        <v>0.6</v>
      </c>
      <c r="L139" s="265"/>
      <c r="M139" s="570"/>
      <c r="N139" s="570"/>
      <c r="O139" s="571"/>
      <c r="P139" s="571"/>
      <c r="Q139" s="571"/>
      <c r="R139" s="571"/>
      <c r="S139" s="566">
        <f t="shared" si="32"/>
        <v>0.6</v>
      </c>
    </row>
    <row r="140" spans="1:239" s="80" customFormat="1" ht="15.6" hidden="1" x14ac:dyDescent="0.3">
      <c r="A140" s="267" t="s">
        <v>805</v>
      </c>
      <c r="B140" s="497" t="s">
        <v>22</v>
      </c>
      <c r="C140" s="496" t="s">
        <v>31</v>
      </c>
      <c r="D140" s="497" t="s">
        <v>20</v>
      </c>
      <c r="E140" s="285" t="s">
        <v>802</v>
      </c>
      <c r="F140" s="497" t="s">
        <v>9</v>
      </c>
      <c r="G140" s="283">
        <f t="shared" ref="G140:R142" si="58">G141</f>
        <v>0</v>
      </c>
      <c r="H140" s="283">
        <f t="shared" si="58"/>
        <v>0</v>
      </c>
      <c r="I140" s="283">
        <f t="shared" si="58"/>
        <v>0</v>
      </c>
      <c r="J140" s="283">
        <f t="shared" si="58"/>
        <v>0</v>
      </c>
      <c r="K140" s="283">
        <f t="shared" si="58"/>
        <v>0</v>
      </c>
      <c r="L140" s="283">
        <f t="shared" si="58"/>
        <v>0</v>
      </c>
      <c r="M140" s="568">
        <f t="shared" si="58"/>
        <v>0</v>
      </c>
      <c r="N140" s="568">
        <f t="shared" si="58"/>
        <v>0</v>
      </c>
      <c r="O140" s="569">
        <f t="shared" si="58"/>
        <v>0</v>
      </c>
      <c r="P140" s="569">
        <f t="shared" si="58"/>
        <v>0</v>
      </c>
      <c r="Q140" s="569">
        <f t="shared" si="58"/>
        <v>0</v>
      </c>
      <c r="R140" s="569">
        <f t="shared" si="58"/>
        <v>0</v>
      </c>
      <c r="S140" s="132">
        <f t="shared" si="32"/>
        <v>0</v>
      </c>
    </row>
    <row r="141" spans="1:239" s="77" customFormat="1" ht="15.6" hidden="1" x14ac:dyDescent="0.3">
      <c r="A141" s="267" t="s">
        <v>804</v>
      </c>
      <c r="B141" s="497" t="s">
        <v>22</v>
      </c>
      <c r="C141" s="496" t="s">
        <v>31</v>
      </c>
      <c r="D141" s="497" t="s">
        <v>20</v>
      </c>
      <c r="E141" s="285" t="s">
        <v>803</v>
      </c>
      <c r="F141" s="497" t="s">
        <v>9</v>
      </c>
      <c r="G141" s="283">
        <f t="shared" si="58"/>
        <v>0</v>
      </c>
      <c r="H141" s="283">
        <f t="shared" si="58"/>
        <v>0</v>
      </c>
      <c r="I141" s="283">
        <f t="shared" si="58"/>
        <v>0</v>
      </c>
      <c r="J141" s="283">
        <f t="shared" si="58"/>
        <v>0</v>
      </c>
      <c r="K141" s="283">
        <f t="shared" si="58"/>
        <v>0</v>
      </c>
      <c r="L141" s="283">
        <f t="shared" si="58"/>
        <v>0</v>
      </c>
      <c r="M141" s="568">
        <f t="shared" si="58"/>
        <v>0</v>
      </c>
      <c r="N141" s="568">
        <f t="shared" si="58"/>
        <v>0</v>
      </c>
      <c r="O141" s="569">
        <f t="shared" si="58"/>
        <v>0</v>
      </c>
      <c r="P141" s="569">
        <f t="shared" si="58"/>
        <v>0</v>
      </c>
      <c r="Q141" s="569">
        <f t="shared" si="58"/>
        <v>0</v>
      </c>
      <c r="R141" s="569">
        <f t="shared" si="58"/>
        <v>0</v>
      </c>
      <c r="S141" s="132">
        <f t="shared" si="32"/>
        <v>0</v>
      </c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  <c r="AF141" s="80"/>
      <c r="AG141" s="80"/>
      <c r="AH141" s="80"/>
      <c r="AI141" s="80"/>
      <c r="AJ141" s="80"/>
      <c r="AK141" s="80"/>
      <c r="AL141" s="80"/>
      <c r="AM141" s="80"/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80"/>
      <c r="AY141" s="80"/>
      <c r="AZ141" s="80"/>
      <c r="BA141" s="80"/>
      <c r="BB141" s="80"/>
      <c r="BC141" s="80"/>
      <c r="BD141" s="80"/>
      <c r="BE141" s="80"/>
      <c r="BF141" s="80"/>
      <c r="BG141" s="80"/>
      <c r="BH141" s="80"/>
      <c r="BI141" s="80"/>
      <c r="BJ141" s="80"/>
      <c r="BK141" s="80"/>
      <c r="BL141" s="80"/>
      <c r="BM141" s="80"/>
      <c r="BN141" s="80"/>
      <c r="BO141" s="80"/>
      <c r="BP141" s="80"/>
      <c r="BQ141" s="80"/>
      <c r="BR141" s="80"/>
      <c r="BS141" s="80"/>
      <c r="BT141" s="80"/>
      <c r="BU141" s="80"/>
      <c r="BV141" s="80"/>
      <c r="BW141" s="80"/>
      <c r="BX141" s="80"/>
      <c r="BY141" s="80"/>
      <c r="BZ141" s="80"/>
      <c r="CA141" s="80"/>
      <c r="CB141" s="80"/>
      <c r="CC141" s="80"/>
      <c r="CD141" s="80"/>
      <c r="CE141" s="80"/>
      <c r="CF141" s="80"/>
      <c r="CG141" s="80"/>
      <c r="CH141" s="80"/>
      <c r="CI141" s="80"/>
      <c r="CJ141" s="80"/>
      <c r="CK141" s="80"/>
      <c r="CL141" s="80"/>
      <c r="CM141" s="80"/>
      <c r="CN141" s="80"/>
      <c r="CO141" s="80"/>
      <c r="CP141" s="80"/>
      <c r="CQ141" s="80"/>
      <c r="CR141" s="80"/>
      <c r="CS141" s="80"/>
      <c r="CT141" s="80"/>
      <c r="CU141" s="80"/>
      <c r="CV141" s="80"/>
      <c r="CW141" s="80"/>
      <c r="CX141" s="80"/>
      <c r="CY141" s="80"/>
      <c r="CZ141" s="80"/>
      <c r="DA141" s="80"/>
      <c r="DB141" s="80"/>
      <c r="DC141" s="80"/>
      <c r="DD141" s="80"/>
      <c r="DE141" s="80"/>
      <c r="DF141" s="80"/>
      <c r="DG141" s="80"/>
      <c r="DH141" s="80"/>
      <c r="DI141" s="80"/>
      <c r="DJ141" s="80"/>
      <c r="DK141" s="80"/>
      <c r="DL141" s="80"/>
      <c r="DM141" s="80"/>
      <c r="DN141" s="80"/>
      <c r="DO141" s="80"/>
      <c r="DP141" s="80"/>
      <c r="DQ141" s="80"/>
      <c r="DR141" s="80"/>
      <c r="DS141" s="80"/>
      <c r="DT141" s="80"/>
      <c r="DU141" s="80"/>
      <c r="DV141" s="80"/>
      <c r="DW141" s="80"/>
      <c r="DX141" s="80"/>
      <c r="DY141" s="80"/>
      <c r="DZ141" s="80"/>
      <c r="EA141" s="80"/>
      <c r="EB141" s="80"/>
      <c r="EC141" s="80"/>
      <c r="ED141" s="80"/>
      <c r="EE141" s="80"/>
      <c r="EF141" s="80"/>
      <c r="EG141" s="80"/>
      <c r="EH141" s="80"/>
      <c r="EI141" s="80"/>
      <c r="EJ141" s="80"/>
      <c r="EK141" s="80"/>
      <c r="EL141" s="80"/>
      <c r="EM141" s="80"/>
      <c r="EN141" s="80"/>
      <c r="EO141" s="80"/>
      <c r="EP141" s="80"/>
      <c r="EQ141" s="80"/>
      <c r="ER141" s="80"/>
      <c r="ES141" s="80"/>
      <c r="ET141" s="80"/>
      <c r="EU141" s="80"/>
      <c r="EV141" s="80"/>
      <c r="EW141" s="80"/>
      <c r="EX141" s="80"/>
      <c r="EY141" s="80"/>
      <c r="EZ141" s="80"/>
      <c r="FA141" s="80"/>
      <c r="FB141" s="80"/>
      <c r="FC141" s="80"/>
      <c r="FD141" s="80"/>
      <c r="FE141" s="80"/>
      <c r="FF141" s="80"/>
      <c r="FG141" s="80"/>
      <c r="FH141" s="80"/>
      <c r="FI141" s="80"/>
      <c r="FJ141" s="80"/>
      <c r="FK141" s="80"/>
      <c r="FL141" s="80"/>
      <c r="FM141" s="80"/>
      <c r="FN141" s="80"/>
      <c r="FO141" s="80"/>
      <c r="FP141" s="80"/>
      <c r="FQ141" s="80"/>
      <c r="FR141" s="80"/>
      <c r="FS141" s="80"/>
      <c r="FT141" s="80"/>
      <c r="FU141" s="80"/>
      <c r="FV141" s="80"/>
      <c r="FW141" s="80"/>
      <c r="FX141" s="80"/>
      <c r="FY141" s="80"/>
      <c r="FZ141" s="80"/>
      <c r="GA141" s="80"/>
      <c r="GB141" s="80"/>
      <c r="GC141" s="80"/>
      <c r="GD141" s="80"/>
      <c r="GE141" s="80"/>
      <c r="GF141" s="80"/>
      <c r="GG141" s="80"/>
      <c r="GH141" s="80"/>
      <c r="GI141" s="80"/>
      <c r="GJ141" s="80"/>
      <c r="GK141" s="80"/>
      <c r="GL141" s="80"/>
      <c r="GM141" s="80"/>
      <c r="GN141" s="80"/>
      <c r="GO141" s="80"/>
      <c r="GP141" s="80"/>
      <c r="GQ141" s="80"/>
      <c r="GR141" s="80"/>
      <c r="GS141" s="80"/>
      <c r="GT141" s="80"/>
      <c r="GU141" s="80"/>
      <c r="GV141" s="80"/>
      <c r="GW141" s="80"/>
      <c r="GX141" s="80"/>
      <c r="GY141" s="80"/>
      <c r="GZ141" s="80"/>
      <c r="HA141" s="80"/>
      <c r="HB141" s="80"/>
      <c r="HC141" s="80"/>
      <c r="HD141" s="80"/>
      <c r="HE141" s="80"/>
      <c r="HF141" s="80"/>
      <c r="HG141" s="80"/>
      <c r="HH141" s="80"/>
      <c r="HI141" s="80"/>
      <c r="HJ141" s="80"/>
      <c r="HK141" s="80"/>
      <c r="HL141" s="80"/>
      <c r="HM141" s="80"/>
      <c r="HN141" s="80"/>
      <c r="HO141" s="80"/>
      <c r="HP141" s="80"/>
      <c r="HQ141" s="80"/>
      <c r="HR141" s="80"/>
      <c r="HS141" s="80"/>
      <c r="HT141" s="80"/>
      <c r="HU141" s="80"/>
      <c r="HV141" s="80"/>
      <c r="HW141" s="80"/>
      <c r="HX141" s="80"/>
      <c r="HY141" s="80"/>
      <c r="HZ141" s="80"/>
      <c r="IA141" s="80"/>
      <c r="IB141" s="80"/>
      <c r="IC141" s="80"/>
      <c r="ID141" s="80"/>
      <c r="IE141" s="80"/>
    </row>
    <row r="142" spans="1:239" s="80" customFormat="1" ht="46.9" hidden="1" x14ac:dyDescent="0.3">
      <c r="A142" s="267" t="s">
        <v>811</v>
      </c>
      <c r="B142" s="497" t="s">
        <v>22</v>
      </c>
      <c r="C142" s="496" t="s">
        <v>31</v>
      </c>
      <c r="D142" s="497" t="s">
        <v>20</v>
      </c>
      <c r="E142" s="285" t="s">
        <v>810</v>
      </c>
      <c r="F142" s="497" t="s">
        <v>9</v>
      </c>
      <c r="G142" s="283">
        <f t="shared" si="58"/>
        <v>0</v>
      </c>
      <c r="H142" s="283">
        <f t="shared" si="58"/>
        <v>0</v>
      </c>
      <c r="I142" s="283">
        <f t="shared" si="58"/>
        <v>0</v>
      </c>
      <c r="J142" s="283">
        <f t="shared" si="58"/>
        <v>0</v>
      </c>
      <c r="K142" s="283">
        <f t="shared" si="58"/>
        <v>0</v>
      </c>
      <c r="L142" s="283">
        <f t="shared" si="58"/>
        <v>0</v>
      </c>
      <c r="M142" s="568">
        <f t="shared" si="58"/>
        <v>0</v>
      </c>
      <c r="N142" s="568">
        <f t="shared" si="58"/>
        <v>0</v>
      </c>
      <c r="O142" s="569">
        <f t="shared" si="58"/>
        <v>0</v>
      </c>
      <c r="P142" s="569">
        <f t="shared" si="58"/>
        <v>0</v>
      </c>
      <c r="Q142" s="569">
        <f t="shared" si="58"/>
        <v>0</v>
      </c>
      <c r="R142" s="569">
        <f t="shared" si="58"/>
        <v>0</v>
      </c>
      <c r="S142" s="132">
        <f t="shared" si="32"/>
        <v>0</v>
      </c>
    </row>
    <row r="143" spans="1:239" s="77" customFormat="1" ht="31.15" hidden="1" x14ac:dyDescent="0.3">
      <c r="A143" s="264" t="s">
        <v>124</v>
      </c>
      <c r="B143" s="380" t="s">
        <v>22</v>
      </c>
      <c r="C143" s="488" t="s">
        <v>31</v>
      </c>
      <c r="D143" s="380" t="s">
        <v>20</v>
      </c>
      <c r="E143" s="265" t="s">
        <v>810</v>
      </c>
      <c r="F143" s="380" t="s">
        <v>117</v>
      </c>
      <c r="G143" s="282"/>
      <c r="H143" s="303"/>
      <c r="I143" s="265"/>
      <c r="J143" s="265"/>
      <c r="K143" s="265"/>
      <c r="L143" s="265"/>
      <c r="M143" s="570"/>
      <c r="N143" s="570"/>
      <c r="O143" s="571"/>
      <c r="P143" s="571"/>
      <c r="Q143" s="571"/>
      <c r="R143" s="571"/>
      <c r="S143" s="131">
        <f t="shared" si="32"/>
        <v>0</v>
      </c>
    </row>
    <row r="144" spans="1:239" s="80" customFormat="1" ht="15.6" hidden="1" x14ac:dyDescent="0.3">
      <c r="A144" s="267" t="s">
        <v>40</v>
      </c>
      <c r="B144" s="497" t="s">
        <v>22</v>
      </c>
      <c r="C144" s="496" t="s">
        <v>31</v>
      </c>
      <c r="D144" s="497" t="s">
        <v>31</v>
      </c>
      <c r="E144" s="285" t="s">
        <v>365</v>
      </c>
      <c r="F144" s="497" t="s">
        <v>9</v>
      </c>
      <c r="G144" s="283">
        <f t="shared" ref="G144:R144" si="59">G145</f>
        <v>0</v>
      </c>
      <c r="H144" s="283">
        <f t="shared" si="59"/>
        <v>0</v>
      </c>
      <c r="I144" s="283">
        <f t="shared" si="59"/>
        <v>0</v>
      </c>
      <c r="J144" s="283">
        <f t="shared" si="59"/>
        <v>0</v>
      </c>
      <c r="K144" s="283">
        <f t="shared" si="59"/>
        <v>0</v>
      </c>
      <c r="L144" s="283">
        <f t="shared" si="59"/>
        <v>0</v>
      </c>
      <c r="M144" s="568">
        <f t="shared" si="59"/>
        <v>0</v>
      </c>
      <c r="N144" s="568">
        <f t="shared" si="59"/>
        <v>0</v>
      </c>
      <c r="O144" s="569">
        <f t="shared" si="59"/>
        <v>0</v>
      </c>
      <c r="P144" s="569">
        <f t="shared" si="59"/>
        <v>0</v>
      </c>
      <c r="Q144" s="569">
        <f t="shared" si="59"/>
        <v>0</v>
      </c>
      <c r="R144" s="569">
        <f t="shared" si="59"/>
        <v>0</v>
      </c>
      <c r="S144" s="132">
        <f t="shared" si="32"/>
        <v>0</v>
      </c>
    </row>
    <row r="145" spans="1:19" s="80" customFormat="1" ht="31.15" hidden="1" x14ac:dyDescent="0.3">
      <c r="A145" s="267" t="s">
        <v>783</v>
      </c>
      <c r="B145" s="497" t="s">
        <v>22</v>
      </c>
      <c r="C145" s="496" t="s">
        <v>31</v>
      </c>
      <c r="D145" s="497" t="s">
        <v>31</v>
      </c>
      <c r="E145" s="285" t="s">
        <v>366</v>
      </c>
      <c r="F145" s="497" t="s">
        <v>9</v>
      </c>
      <c r="G145" s="283">
        <f t="shared" ref="G145:R145" si="60">G146+G149</f>
        <v>0</v>
      </c>
      <c r="H145" s="283">
        <f t="shared" si="60"/>
        <v>0</v>
      </c>
      <c r="I145" s="283">
        <f t="shared" si="60"/>
        <v>0</v>
      </c>
      <c r="J145" s="283">
        <f t="shared" si="60"/>
        <v>0</v>
      </c>
      <c r="K145" s="283">
        <f t="shared" si="60"/>
        <v>0</v>
      </c>
      <c r="L145" s="283">
        <f t="shared" si="60"/>
        <v>0</v>
      </c>
      <c r="M145" s="568">
        <f t="shared" si="60"/>
        <v>0</v>
      </c>
      <c r="N145" s="568">
        <f t="shared" si="60"/>
        <v>0</v>
      </c>
      <c r="O145" s="569">
        <f t="shared" si="60"/>
        <v>0</v>
      </c>
      <c r="P145" s="569">
        <f t="shared" si="60"/>
        <v>0</v>
      </c>
      <c r="Q145" s="569">
        <f t="shared" si="60"/>
        <v>0</v>
      </c>
      <c r="R145" s="569">
        <f t="shared" si="60"/>
        <v>0</v>
      </c>
      <c r="S145" s="132">
        <f t="shared" si="32"/>
        <v>0</v>
      </c>
    </row>
    <row r="146" spans="1:19" s="80" customFormat="1" ht="46.9" hidden="1" x14ac:dyDescent="0.3">
      <c r="A146" s="267" t="s">
        <v>41</v>
      </c>
      <c r="B146" s="497" t="s">
        <v>22</v>
      </c>
      <c r="C146" s="496" t="s">
        <v>31</v>
      </c>
      <c r="D146" s="497" t="s">
        <v>31</v>
      </c>
      <c r="E146" s="285" t="s">
        <v>383</v>
      </c>
      <c r="F146" s="497" t="s">
        <v>9</v>
      </c>
      <c r="G146" s="283">
        <f t="shared" ref="G146:R147" si="61">G147</f>
        <v>0</v>
      </c>
      <c r="H146" s="283">
        <f t="shared" si="61"/>
        <v>0</v>
      </c>
      <c r="I146" s="283">
        <f t="shared" si="61"/>
        <v>0</v>
      </c>
      <c r="J146" s="283">
        <f t="shared" si="61"/>
        <v>0</v>
      </c>
      <c r="K146" s="283">
        <f t="shared" si="61"/>
        <v>0</v>
      </c>
      <c r="L146" s="283">
        <f t="shared" si="61"/>
        <v>0</v>
      </c>
      <c r="M146" s="568">
        <f t="shared" si="61"/>
        <v>0</v>
      </c>
      <c r="N146" s="568">
        <f t="shared" si="61"/>
        <v>0</v>
      </c>
      <c r="O146" s="569">
        <f t="shared" si="61"/>
        <v>0</v>
      </c>
      <c r="P146" s="569">
        <f t="shared" si="61"/>
        <v>0</v>
      </c>
      <c r="Q146" s="569">
        <f t="shared" si="61"/>
        <v>0</v>
      </c>
      <c r="R146" s="569">
        <f t="shared" si="61"/>
        <v>0</v>
      </c>
      <c r="S146" s="132">
        <f t="shared" si="32"/>
        <v>0</v>
      </c>
    </row>
    <row r="147" spans="1:19" s="80" customFormat="1" ht="62.45" hidden="1" x14ac:dyDescent="0.3">
      <c r="A147" s="267" t="s">
        <v>646</v>
      </c>
      <c r="B147" s="497" t="s">
        <v>22</v>
      </c>
      <c r="C147" s="496" t="s">
        <v>31</v>
      </c>
      <c r="D147" s="497" t="s">
        <v>31</v>
      </c>
      <c r="E147" s="285" t="s">
        <v>384</v>
      </c>
      <c r="F147" s="497" t="s">
        <v>9</v>
      </c>
      <c r="G147" s="283">
        <f t="shared" si="61"/>
        <v>0</v>
      </c>
      <c r="H147" s="283">
        <f t="shared" si="61"/>
        <v>0</v>
      </c>
      <c r="I147" s="283">
        <f t="shared" si="61"/>
        <v>0</v>
      </c>
      <c r="J147" s="283">
        <f t="shared" si="61"/>
        <v>0</v>
      </c>
      <c r="K147" s="283">
        <f t="shared" si="61"/>
        <v>0</v>
      </c>
      <c r="L147" s="283">
        <f t="shared" si="61"/>
        <v>0</v>
      </c>
      <c r="M147" s="568">
        <f t="shared" si="61"/>
        <v>0</v>
      </c>
      <c r="N147" s="568">
        <f t="shared" si="61"/>
        <v>0</v>
      </c>
      <c r="O147" s="569">
        <f t="shared" si="61"/>
        <v>0</v>
      </c>
      <c r="P147" s="569">
        <f t="shared" si="61"/>
        <v>0</v>
      </c>
      <c r="Q147" s="569">
        <f t="shared" si="61"/>
        <v>0</v>
      </c>
      <c r="R147" s="569">
        <f t="shared" si="61"/>
        <v>0</v>
      </c>
      <c r="S147" s="132">
        <f t="shared" ref="S147:S210" si="62">G147+H147+I147+J147+K147+L147+M147+N147+O147+P147+Q147+R147</f>
        <v>0</v>
      </c>
    </row>
    <row r="148" spans="1:19" s="77" customFormat="1" ht="31.15" hidden="1" x14ac:dyDescent="0.3">
      <c r="A148" s="264" t="s">
        <v>124</v>
      </c>
      <c r="B148" s="380" t="s">
        <v>22</v>
      </c>
      <c r="C148" s="488" t="s">
        <v>31</v>
      </c>
      <c r="D148" s="380" t="s">
        <v>31</v>
      </c>
      <c r="E148" s="265" t="s">
        <v>384</v>
      </c>
      <c r="F148" s="380" t="s">
        <v>117</v>
      </c>
      <c r="G148" s="282"/>
      <c r="H148" s="303"/>
      <c r="I148" s="265"/>
      <c r="J148" s="265"/>
      <c r="K148" s="265"/>
      <c r="L148" s="265"/>
      <c r="M148" s="570"/>
      <c r="N148" s="570"/>
      <c r="O148" s="571"/>
      <c r="P148" s="571"/>
      <c r="Q148" s="571"/>
      <c r="R148" s="571"/>
      <c r="S148" s="131">
        <f t="shared" si="62"/>
        <v>0</v>
      </c>
    </row>
    <row r="149" spans="1:19" s="80" customFormat="1" ht="31.15" hidden="1" x14ac:dyDescent="0.3">
      <c r="A149" s="267" t="s">
        <v>42</v>
      </c>
      <c r="B149" s="497" t="s">
        <v>22</v>
      </c>
      <c r="C149" s="496" t="s">
        <v>31</v>
      </c>
      <c r="D149" s="497" t="s">
        <v>31</v>
      </c>
      <c r="E149" s="285" t="s">
        <v>491</v>
      </c>
      <c r="F149" s="497" t="s">
        <v>9</v>
      </c>
      <c r="G149" s="283">
        <f t="shared" ref="G149:R149" si="63">G150</f>
        <v>0</v>
      </c>
      <c r="H149" s="283">
        <f t="shared" si="63"/>
        <v>0</v>
      </c>
      <c r="I149" s="283">
        <f t="shared" si="63"/>
        <v>0</v>
      </c>
      <c r="J149" s="283">
        <f t="shared" si="63"/>
        <v>0</v>
      </c>
      <c r="K149" s="283">
        <f t="shared" si="63"/>
        <v>0</v>
      </c>
      <c r="L149" s="283">
        <f t="shared" si="63"/>
        <v>0</v>
      </c>
      <c r="M149" s="568">
        <f t="shared" si="63"/>
        <v>0</v>
      </c>
      <c r="N149" s="568">
        <f t="shared" si="63"/>
        <v>0</v>
      </c>
      <c r="O149" s="569">
        <f t="shared" si="63"/>
        <v>0</v>
      </c>
      <c r="P149" s="569">
        <f t="shared" si="63"/>
        <v>0</v>
      </c>
      <c r="Q149" s="569">
        <f t="shared" si="63"/>
        <v>0</v>
      </c>
      <c r="R149" s="569">
        <f t="shared" si="63"/>
        <v>0</v>
      </c>
      <c r="S149" s="132">
        <f t="shared" si="62"/>
        <v>0</v>
      </c>
    </row>
    <row r="150" spans="1:19" s="77" customFormat="1" ht="31.15" hidden="1" x14ac:dyDescent="0.3">
      <c r="A150" s="264" t="s">
        <v>124</v>
      </c>
      <c r="B150" s="380" t="s">
        <v>22</v>
      </c>
      <c r="C150" s="488" t="s">
        <v>31</v>
      </c>
      <c r="D150" s="380" t="s">
        <v>31</v>
      </c>
      <c r="E150" s="265" t="s">
        <v>491</v>
      </c>
      <c r="F150" s="380" t="s">
        <v>117</v>
      </c>
      <c r="G150" s="282"/>
      <c r="H150" s="303"/>
      <c r="I150" s="265"/>
      <c r="J150" s="265"/>
      <c r="K150" s="265"/>
      <c r="L150" s="265"/>
      <c r="M150" s="570"/>
      <c r="N150" s="570"/>
      <c r="O150" s="571"/>
      <c r="P150" s="571"/>
      <c r="Q150" s="571"/>
      <c r="R150" s="571"/>
      <c r="S150" s="131">
        <f t="shared" si="62"/>
        <v>0</v>
      </c>
    </row>
    <row r="151" spans="1:19" s="80" customFormat="1" x14ac:dyDescent="0.25">
      <c r="A151" s="267" t="s">
        <v>43</v>
      </c>
      <c r="B151" s="497" t="s">
        <v>22</v>
      </c>
      <c r="C151" s="496" t="s">
        <v>31</v>
      </c>
      <c r="D151" s="497" t="s">
        <v>44</v>
      </c>
      <c r="E151" s="285" t="s">
        <v>365</v>
      </c>
      <c r="F151" s="497" t="s">
        <v>9</v>
      </c>
      <c r="G151" s="283">
        <f t="shared" ref="G151:R151" si="64">G152</f>
        <v>899.38</v>
      </c>
      <c r="H151" s="283">
        <f t="shared" si="64"/>
        <v>11153.8</v>
      </c>
      <c r="I151" s="283">
        <f t="shared" si="64"/>
        <v>482.89499999999998</v>
      </c>
      <c r="J151" s="283">
        <f t="shared" si="64"/>
        <v>0</v>
      </c>
      <c r="K151" s="283">
        <f t="shared" si="64"/>
        <v>554.1</v>
      </c>
      <c r="L151" s="283">
        <f t="shared" si="64"/>
        <v>0</v>
      </c>
      <c r="M151" s="568">
        <f t="shared" si="64"/>
        <v>0</v>
      </c>
      <c r="N151" s="568">
        <f t="shared" si="64"/>
        <v>-135.49199999999999</v>
      </c>
      <c r="O151" s="569">
        <f t="shared" si="64"/>
        <v>0</v>
      </c>
      <c r="P151" s="569">
        <f t="shared" si="64"/>
        <v>0</v>
      </c>
      <c r="Q151" s="569">
        <f t="shared" si="64"/>
        <v>0</v>
      </c>
      <c r="R151" s="569">
        <f t="shared" si="64"/>
        <v>0</v>
      </c>
      <c r="S151" s="132">
        <f t="shared" si="62"/>
        <v>12954.682999999999</v>
      </c>
    </row>
    <row r="152" spans="1:19" s="80" customFormat="1" ht="31.5" x14ac:dyDescent="0.25">
      <c r="A152" s="267" t="s">
        <v>783</v>
      </c>
      <c r="B152" s="497" t="s">
        <v>22</v>
      </c>
      <c r="C152" s="496" t="s">
        <v>31</v>
      </c>
      <c r="D152" s="497" t="s">
        <v>44</v>
      </c>
      <c r="E152" s="285" t="s">
        <v>366</v>
      </c>
      <c r="F152" s="497" t="s">
        <v>9</v>
      </c>
      <c r="G152" s="283">
        <f t="shared" ref="G152:R152" si="65">G153+G166+G161+G164</f>
        <v>899.38</v>
      </c>
      <c r="H152" s="283">
        <f t="shared" si="65"/>
        <v>11153.8</v>
      </c>
      <c r="I152" s="283">
        <f t="shared" si="65"/>
        <v>482.89499999999998</v>
      </c>
      <c r="J152" s="283">
        <f t="shared" si="65"/>
        <v>0</v>
      </c>
      <c r="K152" s="283">
        <f t="shared" si="65"/>
        <v>554.1</v>
      </c>
      <c r="L152" s="283">
        <f t="shared" si="65"/>
        <v>0</v>
      </c>
      <c r="M152" s="568">
        <f t="shared" si="65"/>
        <v>0</v>
      </c>
      <c r="N152" s="568">
        <f t="shared" si="65"/>
        <v>-135.49199999999999</v>
      </c>
      <c r="O152" s="132">
        <f t="shared" si="65"/>
        <v>0</v>
      </c>
      <c r="P152" s="132">
        <f t="shared" si="65"/>
        <v>0</v>
      </c>
      <c r="Q152" s="132">
        <f t="shared" si="65"/>
        <v>0</v>
      </c>
      <c r="R152" s="132">
        <f t="shared" si="65"/>
        <v>0</v>
      </c>
      <c r="S152" s="132">
        <f t="shared" si="62"/>
        <v>12954.682999999999</v>
      </c>
    </row>
    <row r="153" spans="1:19" s="80" customFormat="1" ht="31.5" x14ac:dyDescent="0.25">
      <c r="A153" s="267" t="s">
        <v>564</v>
      </c>
      <c r="B153" s="497" t="s">
        <v>22</v>
      </c>
      <c r="C153" s="496" t="s">
        <v>31</v>
      </c>
      <c r="D153" s="497" t="s">
        <v>44</v>
      </c>
      <c r="E153" s="285" t="s">
        <v>367</v>
      </c>
      <c r="F153" s="497" t="s">
        <v>9</v>
      </c>
      <c r="G153" s="283">
        <f t="shared" ref="G153:R153" si="66">G158+G154</f>
        <v>0</v>
      </c>
      <c r="H153" s="283">
        <f t="shared" si="66"/>
        <v>11153.8</v>
      </c>
      <c r="I153" s="283">
        <f t="shared" si="66"/>
        <v>483</v>
      </c>
      <c r="J153" s="283">
        <f t="shared" si="66"/>
        <v>0</v>
      </c>
      <c r="K153" s="283">
        <f t="shared" si="66"/>
        <v>554.1</v>
      </c>
      <c r="L153" s="283">
        <f t="shared" si="66"/>
        <v>0</v>
      </c>
      <c r="M153" s="568">
        <f t="shared" si="66"/>
        <v>0</v>
      </c>
      <c r="N153" s="568">
        <f t="shared" si="66"/>
        <v>-135.49199999999999</v>
      </c>
      <c r="O153" s="569">
        <f t="shared" si="66"/>
        <v>0</v>
      </c>
      <c r="P153" s="569">
        <f t="shared" si="66"/>
        <v>0</v>
      </c>
      <c r="Q153" s="569">
        <f t="shared" si="66"/>
        <v>0</v>
      </c>
      <c r="R153" s="569">
        <f t="shared" si="66"/>
        <v>0</v>
      </c>
      <c r="S153" s="132">
        <f t="shared" si="62"/>
        <v>12055.407999999999</v>
      </c>
    </row>
    <row r="154" spans="1:19" s="80" customFormat="1" ht="31.5" x14ac:dyDescent="0.25">
      <c r="A154" s="267" t="s">
        <v>29</v>
      </c>
      <c r="B154" s="497" t="s">
        <v>22</v>
      </c>
      <c r="C154" s="496" t="s">
        <v>31</v>
      </c>
      <c r="D154" s="497" t="s">
        <v>44</v>
      </c>
      <c r="E154" s="285" t="s">
        <v>369</v>
      </c>
      <c r="F154" s="497" t="s">
        <v>9</v>
      </c>
      <c r="G154" s="283">
        <f t="shared" ref="G154:R154" si="67">G155+G156+G157</f>
        <v>0</v>
      </c>
      <c r="H154" s="283">
        <f t="shared" si="67"/>
        <v>8186</v>
      </c>
      <c r="I154" s="283">
        <f t="shared" si="67"/>
        <v>337</v>
      </c>
      <c r="J154" s="283">
        <f t="shared" si="67"/>
        <v>0</v>
      </c>
      <c r="K154" s="283">
        <f t="shared" si="67"/>
        <v>407.1</v>
      </c>
      <c r="L154" s="283">
        <f t="shared" si="67"/>
        <v>0</v>
      </c>
      <c r="M154" s="568">
        <f t="shared" si="67"/>
        <v>0</v>
      </c>
      <c r="N154" s="568">
        <f t="shared" si="67"/>
        <v>-135.49199999999999</v>
      </c>
      <c r="O154" s="569">
        <f t="shared" si="67"/>
        <v>0</v>
      </c>
      <c r="P154" s="569">
        <f t="shared" si="67"/>
        <v>0</v>
      </c>
      <c r="Q154" s="569">
        <f t="shared" si="67"/>
        <v>0</v>
      </c>
      <c r="R154" s="569">
        <f t="shared" si="67"/>
        <v>0</v>
      </c>
      <c r="S154" s="132">
        <f t="shared" si="62"/>
        <v>8794.6080000000002</v>
      </c>
    </row>
    <row r="155" spans="1:19" s="77" customFormat="1" ht="63" x14ac:dyDescent="0.25">
      <c r="A155" s="264" t="s">
        <v>115</v>
      </c>
      <c r="B155" s="380" t="s">
        <v>22</v>
      </c>
      <c r="C155" s="488" t="s">
        <v>31</v>
      </c>
      <c r="D155" s="380" t="s">
        <v>44</v>
      </c>
      <c r="E155" s="265" t="s">
        <v>369</v>
      </c>
      <c r="F155" s="380" t="s">
        <v>113</v>
      </c>
      <c r="G155" s="282"/>
      <c r="H155" s="303">
        <v>7801.8</v>
      </c>
      <c r="I155" s="265"/>
      <c r="J155" s="265"/>
      <c r="K155" s="419">
        <v>407.1</v>
      </c>
      <c r="L155" s="419">
        <v>1.9263999999999999</v>
      </c>
      <c r="M155" s="570"/>
      <c r="N155" s="570">
        <v>-135.49199999999999</v>
      </c>
      <c r="O155" s="571"/>
      <c r="P155" s="571"/>
      <c r="Q155" s="571"/>
      <c r="R155" s="571"/>
      <c r="S155" s="566">
        <f t="shared" si="62"/>
        <v>8075.3343999999997</v>
      </c>
    </row>
    <row r="156" spans="1:19" s="77" customFormat="1" ht="31.5" x14ac:dyDescent="0.25">
      <c r="A156" s="264" t="s">
        <v>124</v>
      </c>
      <c r="B156" s="380" t="s">
        <v>22</v>
      </c>
      <c r="C156" s="488" t="s">
        <v>31</v>
      </c>
      <c r="D156" s="380" t="s">
        <v>44</v>
      </c>
      <c r="E156" s="265" t="s">
        <v>369</v>
      </c>
      <c r="F156" s="380" t="s">
        <v>117</v>
      </c>
      <c r="G156" s="282"/>
      <c r="H156" s="303">
        <v>384.2</v>
      </c>
      <c r="I156" s="265">
        <v>337</v>
      </c>
      <c r="J156" s="265"/>
      <c r="K156" s="265"/>
      <c r="L156" s="419">
        <v>-1.9263999999999999</v>
      </c>
      <c r="M156" s="570">
        <v>-6.0000000000000002E-5</v>
      </c>
      <c r="N156" s="570"/>
      <c r="O156" s="571"/>
      <c r="P156" s="571"/>
      <c r="Q156" s="571"/>
      <c r="R156" s="571"/>
      <c r="S156" s="566">
        <f t="shared" si="62"/>
        <v>719.27354000000014</v>
      </c>
    </row>
    <row r="157" spans="1:19" s="77" customFormat="1" ht="31.15" hidden="1" customHeight="1" x14ac:dyDescent="0.3">
      <c r="A157" s="264" t="s">
        <v>116</v>
      </c>
      <c r="B157" s="380" t="s">
        <v>22</v>
      </c>
      <c r="C157" s="488" t="s">
        <v>31</v>
      </c>
      <c r="D157" s="380" t="s">
        <v>44</v>
      </c>
      <c r="E157" s="265" t="s">
        <v>369</v>
      </c>
      <c r="F157" s="380" t="s">
        <v>114</v>
      </c>
      <c r="G157" s="282"/>
      <c r="H157" s="303"/>
      <c r="I157" s="265"/>
      <c r="J157" s="265"/>
      <c r="K157" s="265"/>
      <c r="L157" s="265"/>
      <c r="M157" s="570">
        <v>6.0000000000000002E-5</v>
      </c>
      <c r="N157" s="570"/>
      <c r="O157" s="571"/>
      <c r="P157" s="571"/>
      <c r="Q157" s="571"/>
      <c r="R157" s="571"/>
      <c r="S157" s="566">
        <f t="shared" si="62"/>
        <v>6.0000000000000002E-5</v>
      </c>
    </row>
    <row r="158" spans="1:19" s="80" customFormat="1" ht="29.45" customHeight="1" x14ac:dyDescent="0.25">
      <c r="A158" s="267" t="s">
        <v>45</v>
      </c>
      <c r="B158" s="497" t="s">
        <v>22</v>
      </c>
      <c r="C158" s="496" t="s">
        <v>31</v>
      </c>
      <c r="D158" s="497" t="s">
        <v>44</v>
      </c>
      <c r="E158" s="285" t="s">
        <v>385</v>
      </c>
      <c r="F158" s="497" t="s">
        <v>9</v>
      </c>
      <c r="G158" s="283">
        <f t="shared" ref="G158:R158" si="68">G159+G160</f>
        <v>0</v>
      </c>
      <c r="H158" s="283">
        <f t="shared" si="68"/>
        <v>2967.8</v>
      </c>
      <c r="I158" s="283">
        <f t="shared" si="68"/>
        <v>146</v>
      </c>
      <c r="J158" s="283">
        <f t="shared" si="68"/>
        <v>0</v>
      </c>
      <c r="K158" s="283">
        <f t="shared" si="68"/>
        <v>147</v>
      </c>
      <c r="L158" s="283">
        <f t="shared" si="68"/>
        <v>0</v>
      </c>
      <c r="M158" s="568">
        <f t="shared" si="68"/>
        <v>0</v>
      </c>
      <c r="N158" s="568">
        <f t="shared" si="68"/>
        <v>0</v>
      </c>
      <c r="O158" s="569">
        <f t="shared" si="68"/>
        <v>0</v>
      </c>
      <c r="P158" s="569">
        <f t="shared" si="68"/>
        <v>0</v>
      </c>
      <c r="Q158" s="569">
        <f t="shared" si="68"/>
        <v>0</v>
      </c>
      <c r="R158" s="569">
        <f t="shared" si="68"/>
        <v>0</v>
      </c>
      <c r="S158" s="132">
        <f t="shared" si="62"/>
        <v>3260.8</v>
      </c>
    </row>
    <row r="159" spans="1:19" s="77" customFormat="1" ht="63" x14ac:dyDescent="0.25">
      <c r="A159" s="264" t="s">
        <v>115</v>
      </c>
      <c r="B159" s="380" t="s">
        <v>22</v>
      </c>
      <c r="C159" s="488" t="s">
        <v>31</v>
      </c>
      <c r="D159" s="380" t="s">
        <v>44</v>
      </c>
      <c r="E159" s="265" t="s">
        <v>385</v>
      </c>
      <c r="F159" s="380" t="s">
        <v>113</v>
      </c>
      <c r="G159" s="282"/>
      <c r="H159" s="303">
        <v>2817.8</v>
      </c>
      <c r="I159" s="265"/>
      <c r="J159" s="265"/>
      <c r="K159" s="419">
        <v>147</v>
      </c>
      <c r="L159" s="265"/>
      <c r="M159" s="570">
        <v>9.7639999999999993</v>
      </c>
      <c r="N159" s="622">
        <v>0.3</v>
      </c>
      <c r="O159" s="571"/>
      <c r="P159" s="571"/>
      <c r="Q159" s="571"/>
      <c r="R159" s="571"/>
      <c r="S159" s="566">
        <f t="shared" si="62"/>
        <v>2974.8640000000005</v>
      </c>
    </row>
    <row r="160" spans="1:19" s="77" customFormat="1" ht="31.5" x14ac:dyDescent="0.25">
      <c r="A160" s="264" t="s">
        <v>124</v>
      </c>
      <c r="B160" s="380" t="s">
        <v>22</v>
      </c>
      <c r="C160" s="488" t="s">
        <v>31</v>
      </c>
      <c r="D160" s="380" t="s">
        <v>44</v>
      </c>
      <c r="E160" s="265" t="s">
        <v>385</v>
      </c>
      <c r="F160" s="380" t="s">
        <v>117</v>
      </c>
      <c r="G160" s="282"/>
      <c r="H160" s="303">
        <v>150</v>
      </c>
      <c r="I160" s="265">
        <v>146</v>
      </c>
      <c r="J160" s="265"/>
      <c r="K160" s="265"/>
      <c r="L160" s="265"/>
      <c r="M160" s="570">
        <v>-9.7639999999999993</v>
      </c>
      <c r="N160" s="622">
        <v>-0.3</v>
      </c>
      <c r="O160" s="571"/>
      <c r="P160" s="571"/>
      <c r="Q160" s="571"/>
      <c r="R160" s="571"/>
      <c r="S160" s="566">
        <f t="shared" si="62"/>
        <v>285.93599999999998</v>
      </c>
    </row>
    <row r="161" spans="1:19" s="77" customFormat="1" ht="47.25" x14ac:dyDescent="0.25">
      <c r="A161" s="267" t="s">
        <v>41</v>
      </c>
      <c r="B161" s="497" t="s">
        <v>22</v>
      </c>
      <c r="C161" s="496" t="s">
        <v>31</v>
      </c>
      <c r="D161" s="497" t="s">
        <v>44</v>
      </c>
      <c r="E161" s="285" t="s">
        <v>383</v>
      </c>
      <c r="F161" s="497" t="s">
        <v>9</v>
      </c>
      <c r="G161" s="283">
        <f t="shared" ref="G161:R162" si="69">G162</f>
        <v>831.08</v>
      </c>
      <c r="H161" s="283">
        <f t="shared" si="69"/>
        <v>0</v>
      </c>
      <c r="I161" s="283">
        <f t="shared" si="69"/>
        <v>0</v>
      </c>
      <c r="J161" s="283">
        <f t="shared" si="69"/>
        <v>0</v>
      </c>
      <c r="K161" s="283">
        <f t="shared" si="69"/>
        <v>0</v>
      </c>
      <c r="L161" s="283">
        <f t="shared" si="69"/>
        <v>0</v>
      </c>
      <c r="M161" s="568">
        <f t="shared" si="69"/>
        <v>0</v>
      </c>
      <c r="N161" s="568">
        <f t="shared" si="69"/>
        <v>0</v>
      </c>
      <c r="O161" s="132">
        <f t="shared" si="69"/>
        <v>0</v>
      </c>
      <c r="P161" s="132">
        <f t="shared" si="69"/>
        <v>0</v>
      </c>
      <c r="Q161" s="132">
        <f t="shared" si="69"/>
        <v>0</v>
      </c>
      <c r="R161" s="132">
        <f t="shared" si="69"/>
        <v>0</v>
      </c>
      <c r="S161" s="132">
        <f t="shared" si="62"/>
        <v>831.08</v>
      </c>
    </row>
    <row r="162" spans="1:19" s="77" customFormat="1" ht="63" x14ac:dyDescent="0.25">
      <c r="A162" s="267" t="s">
        <v>646</v>
      </c>
      <c r="B162" s="497" t="s">
        <v>22</v>
      </c>
      <c r="C162" s="496" t="s">
        <v>31</v>
      </c>
      <c r="D162" s="497" t="s">
        <v>44</v>
      </c>
      <c r="E162" s="285" t="s">
        <v>384</v>
      </c>
      <c r="F162" s="497" t="s">
        <v>9</v>
      </c>
      <c r="G162" s="283">
        <f t="shared" si="69"/>
        <v>831.08</v>
      </c>
      <c r="H162" s="283">
        <f t="shared" si="69"/>
        <v>0</v>
      </c>
      <c r="I162" s="283">
        <f t="shared" si="69"/>
        <v>0</v>
      </c>
      <c r="J162" s="283">
        <f t="shared" si="69"/>
        <v>0</v>
      </c>
      <c r="K162" s="283">
        <f t="shared" si="69"/>
        <v>0</v>
      </c>
      <c r="L162" s="283">
        <f t="shared" si="69"/>
        <v>0</v>
      </c>
      <c r="M162" s="568">
        <f t="shared" si="69"/>
        <v>0</v>
      </c>
      <c r="N162" s="568">
        <f t="shared" si="69"/>
        <v>0</v>
      </c>
      <c r="O162" s="132">
        <f t="shared" si="69"/>
        <v>0</v>
      </c>
      <c r="P162" s="132">
        <f t="shared" si="69"/>
        <v>0</v>
      </c>
      <c r="Q162" s="132">
        <f t="shared" si="69"/>
        <v>0</v>
      </c>
      <c r="R162" s="132">
        <f t="shared" si="69"/>
        <v>0</v>
      </c>
      <c r="S162" s="132">
        <f t="shared" si="62"/>
        <v>831.08</v>
      </c>
    </row>
    <row r="163" spans="1:19" s="77" customFormat="1" ht="31.5" x14ac:dyDescent="0.25">
      <c r="A163" s="264" t="s">
        <v>124</v>
      </c>
      <c r="B163" s="380" t="s">
        <v>22</v>
      </c>
      <c r="C163" s="488" t="s">
        <v>31</v>
      </c>
      <c r="D163" s="380" t="s">
        <v>44</v>
      </c>
      <c r="E163" s="265" t="s">
        <v>384</v>
      </c>
      <c r="F163" s="380" t="s">
        <v>117</v>
      </c>
      <c r="G163" s="282">
        <v>831.08</v>
      </c>
      <c r="H163" s="303"/>
      <c r="I163" s="265"/>
      <c r="J163" s="265"/>
      <c r="K163" s="265"/>
      <c r="L163" s="265"/>
      <c r="M163" s="570"/>
      <c r="N163" s="570"/>
      <c r="O163" s="571"/>
      <c r="P163" s="571"/>
      <c r="Q163" s="571"/>
      <c r="R163" s="571"/>
      <c r="S163" s="566">
        <f t="shared" si="62"/>
        <v>831.08</v>
      </c>
    </row>
    <row r="164" spans="1:19" s="77" customFormat="1" ht="63" x14ac:dyDescent="0.25">
      <c r="A164" s="267" t="s">
        <v>646</v>
      </c>
      <c r="B164" s="497" t="s">
        <v>22</v>
      </c>
      <c r="C164" s="496" t="s">
        <v>31</v>
      </c>
      <c r="D164" s="497" t="s">
        <v>44</v>
      </c>
      <c r="E164" s="285" t="s">
        <v>491</v>
      </c>
      <c r="F164" s="497" t="s">
        <v>9</v>
      </c>
      <c r="G164" s="283">
        <f t="shared" ref="G164:R164" si="70">G165</f>
        <v>8.5</v>
      </c>
      <c r="H164" s="283">
        <f t="shared" si="70"/>
        <v>0</v>
      </c>
      <c r="I164" s="283">
        <f t="shared" si="70"/>
        <v>-0.105</v>
      </c>
      <c r="J164" s="283">
        <f t="shared" si="70"/>
        <v>0</v>
      </c>
      <c r="K164" s="283">
        <f t="shared" si="70"/>
        <v>0</v>
      </c>
      <c r="L164" s="283">
        <f t="shared" si="70"/>
        <v>0</v>
      </c>
      <c r="M164" s="568">
        <f t="shared" si="70"/>
        <v>0</v>
      </c>
      <c r="N164" s="568">
        <f t="shared" si="70"/>
        <v>0</v>
      </c>
      <c r="O164" s="132">
        <f t="shared" si="70"/>
        <v>0</v>
      </c>
      <c r="P164" s="132">
        <f t="shared" si="70"/>
        <v>0</v>
      </c>
      <c r="Q164" s="132">
        <f t="shared" si="70"/>
        <v>0</v>
      </c>
      <c r="R164" s="132">
        <f t="shared" si="70"/>
        <v>0</v>
      </c>
      <c r="S164" s="132">
        <f t="shared" si="62"/>
        <v>8.3949999999999996</v>
      </c>
    </row>
    <row r="165" spans="1:19" s="77" customFormat="1" ht="31.5" x14ac:dyDescent="0.25">
      <c r="A165" s="264" t="s">
        <v>124</v>
      </c>
      <c r="B165" s="380" t="s">
        <v>22</v>
      </c>
      <c r="C165" s="488" t="s">
        <v>31</v>
      </c>
      <c r="D165" s="380" t="s">
        <v>44</v>
      </c>
      <c r="E165" s="265" t="s">
        <v>491</v>
      </c>
      <c r="F165" s="380" t="s">
        <v>117</v>
      </c>
      <c r="G165" s="282">
        <v>8.5</v>
      </c>
      <c r="H165" s="303"/>
      <c r="I165" s="265">
        <v>-0.105</v>
      </c>
      <c r="J165" s="265"/>
      <c r="K165" s="265"/>
      <c r="L165" s="265"/>
      <c r="M165" s="570"/>
      <c r="N165" s="570"/>
      <c r="O165" s="571"/>
      <c r="P165" s="571"/>
      <c r="Q165" s="571"/>
      <c r="R165" s="571"/>
      <c r="S165" s="566">
        <f t="shared" si="62"/>
        <v>8.3949999999999996</v>
      </c>
    </row>
    <row r="166" spans="1:19" s="80" customFormat="1" ht="47.25" x14ac:dyDescent="0.25">
      <c r="A166" s="267" t="s">
        <v>1110</v>
      </c>
      <c r="B166" s="497" t="s">
        <v>22</v>
      </c>
      <c r="C166" s="496" t="s">
        <v>31</v>
      </c>
      <c r="D166" s="497" t="s">
        <v>44</v>
      </c>
      <c r="E166" s="285" t="s">
        <v>386</v>
      </c>
      <c r="F166" s="497" t="s">
        <v>9</v>
      </c>
      <c r="G166" s="283">
        <f t="shared" ref="G166:R167" si="71">G167</f>
        <v>59.8</v>
      </c>
      <c r="H166" s="283">
        <f t="shared" si="71"/>
        <v>0</v>
      </c>
      <c r="I166" s="283">
        <f t="shared" si="71"/>
        <v>0</v>
      </c>
      <c r="J166" s="283">
        <f t="shared" si="71"/>
        <v>0</v>
      </c>
      <c r="K166" s="283">
        <f t="shared" si="71"/>
        <v>0</v>
      </c>
      <c r="L166" s="283">
        <f t="shared" si="71"/>
        <v>0</v>
      </c>
      <c r="M166" s="568">
        <f t="shared" si="71"/>
        <v>0</v>
      </c>
      <c r="N166" s="568">
        <f t="shared" si="71"/>
        <v>0</v>
      </c>
      <c r="O166" s="569">
        <f t="shared" si="71"/>
        <v>0</v>
      </c>
      <c r="P166" s="569">
        <f t="shared" si="71"/>
        <v>0</v>
      </c>
      <c r="Q166" s="569">
        <f t="shared" si="71"/>
        <v>0</v>
      </c>
      <c r="R166" s="569">
        <f t="shared" si="71"/>
        <v>0</v>
      </c>
      <c r="S166" s="132">
        <f t="shared" si="62"/>
        <v>59.8</v>
      </c>
    </row>
    <row r="167" spans="1:19" s="80" customFormat="1" ht="63" x14ac:dyDescent="0.25">
      <c r="A167" s="267" t="s">
        <v>46</v>
      </c>
      <c r="B167" s="497" t="s">
        <v>22</v>
      </c>
      <c r="C167" s="496" t="s">
        <v>31</v>
      </c>
      <c r="D167" s="497" t="s">
        <v>44</v>
      </c>
      <c r="E167" s="285" t="s">
        <v>387</v>
      </c>
      <c r="F167" s="497" t="s">
        <v>9</v>
      </c>
      <c r="G167" s="283">
        <f t="shared" si="71"/>
        <v>59.8</v>
      </c>
      <c r="H167" s="283">
        <f t="shared" si="71"/>
        <v>0</v>
      </c>
      <c r="I167" s="283">
        <f t="shared" si="71"/>
        <v>0</v>
      </c>
      <c r="J167" s="283">
        <f t="shared" si="71"/>
        <v>0</v>
      </c>
      <c r="K167" s="283">
        <f t="shared" si="71"/>
        <v>0</v>
      </c>
      <c r="L167" s="283">
        <f t="shared" si="71"/>
        <v>0</v>
      </c>
      <c r="M167" s="568">
        <f t="shared" si="71"/>
        <v>0</v>
      </c>
      <c r="N167" s="568">
        <f t="shared" si="71"/>
        <v>0</v>
      </c>
      <c r="O167" s="569">
        <f t="shared" si="71"/>
        <v>0</v>
      </c>
      <c r="P167" s="569">
        <f t="shared" si="71"/>
        <v>0</v>
      </c>
      <c r="Q167" s="569">
        <f t="shared" si="71"/>
        <v>0</v>
      </c>
      <c r="R167" s="569">
        <f t="shared" si="71"/>
        <v>0</v>
      </c>
      <c r="S167" s="132">
        <f t="shared" si="62"/>
        <v>59.8</v>
      </c>
    </row>
    <row r="168" spans="1:19" s="77" customFormat="1" ht="31.5" x14ac:dyDescent="0.25">
      <c r="A168" s="264" t="s">
        <v>124</v>
      </c>
      <c r="B168" s="380" t="s">
        <v>22</v>
      </c>
      <c r="C168" s="488" t="s">
        <v>31</v>
      </c>
      <c r="D168" s="380" t="s">
        <v>44</v>
      </c>
      <c r="E168" s="265" t="s">
        <v>387</v>
      </c>
      <c r="F168" s="380" t="s">
        <v>117</v>
      </c>
      <c r="G168" s="282">
        <v>59.8</v>
      </c>
      <c r="H168" s="303"/>
      <c r="I168" s="265"/>
      <c r="J168" s="265"/>
      <c r="K168" s="265"/>
      <c r="L168" s="265"/>
      <c r="M168" s="570"/>
      <c r="N168" s="570"/>
      <c r="O168" s="571"/>
      <c r="P168" s="571"/>
      <c r="Q168" s="571"/>
      <c r="R168" s="571"/>
      <c r="S168" s="566">
        <f t="shared" si="62"/>
        <v>59.8</v>
      </c>
    </row>
    <row r="169" spans="1:19" s="77" customFormat="1" x14ac:dyDescent="0.25">
      <c r="A169" s="264" t="s">
        <v>17</v>
      </c>
      <c r="B169" s="380" t="s">
        <v>22</v>
      </c>
      <c r="C169" s="488" t="s">
        <v>18</v>
      </c>
      <c r="D169" s="380" t="s">
        <v>10</v>
      </c>
      <c r="E169" s="265" t="s">
        <v>365</v>
      </c>
      <c r="F169" s="380" t="s">
        <v>9</v>
      </c>
      <c r="G169" s="282">
        <f t="shared" ref="G169:R169" si="72">G170+G176</f>
        <v>10270.599999999999</v>
      </c>
      <c r="H169" s="282">
        <f t="shared" si="72"/>
        <v>0</v>
      </c>
      <c r="I169" s="282">
        <f t="shared" si="72"/>
        <v>0</v>
      </c>
      <c r="J169" s="282">
        <f t="shared" si="72"/>
        <v>0</v>
      </c>
      <c r="K169" s="282">
        <f t="shared" si="72"/>
        <v>0</v>
      </c>
      <c r="L169" s="282">
        <f t="shared" si="72"/>
        <v>0</v>
      </c>
      <c r="M169" s="566">
        <f t="shared" si="72"/>
        <v>0</v>
      </c>
      <c r="N169" s="566">
        <f t="shared" si="72"/>
        <v>0</v>
      </c>
      <c r="O169" s="567">
        <f t="shared" si="72"/>
        <v>0</v>
      </c>
      <c r="P169" s="567">
        <f t="shared" si="72"/>
        <v>0</v>
      </c>
      <c r="Q169" s="567">
        <f t="shared" si="72"/>
        <v>0</v>
      </c>
      <c r="R169" s="567">
        <f t="shared" si="72"/>
        <v>0</v>
      </c>
      <c r="S169" s="131">
        <f t="shared" si="62"/>
        <v>10270.599999999999</v>
      </c>
    </row>
    <row r="170" spans="1:19" s="80" customFormat="1" x14ac:dyDescent="0.25">
      <c r="A170" s="267" t="s">
        <v>19</v>
      </c>
      <c r="B170" s="497" t="s">
        <v>22</v>
      </c>
      <c r="C170" s="496" t="s">
        <v>18</v>
      </c>
      <c r="D170" s="497" t="s">
        <v>20</v>
      </c>
      <c r="E170" s="285" t="s">
        <v>365</v>
      </c>
      <c r="F170" s="497" t="s">
        <v>9</v>
      </c>
      <c r="G170" s="283">
        <f t="shared" ref="G170:R172" si="73">G171</f>
        <v>8275.6999999999989</v>
      </c>
      <c r="H170" s="283">
        <f t="shared" si="73"/>
        <v>0</v>
      </c>
      <c r="I170" s="283">
        <f t="shared" si="73"/>
        <v>0</v>
      </c>
      <c r="J170" s="283">
        <f t="shared" si="73"/>
        <v>0</v>
      </c>
      <c r="K170" s="283">
        <f t="shared" si="73"/>
        <v>0</v>
      </c>
      <c r="L170" s="283">
        <f t="shared" si="73"/>
        <v>0</v>
      </c>
      <c r="M170" s="568">
        <f t="shared" si="73"/>
        <v>0</v>
      </c>
      <c r="N170" s="568">
        <f t="shared" si="73"/>
        <v>0</v>
      </c>
      <c r="O170" s="569">
        <f t="shared" si="73"/>
        <v>0</v>
      </c>
      <c r="P170" s="569">
        <f t="shared" si="73"/>
        <v>0</v>
      </c>
      <c r="Q170" s="569">
        <f t="shared" si="73"/>
        <v>0</v>
      </c>
      <c r="R170" s="569">
        <f t="shared" si="73"/>
        <v>0</v>
      </c>
      <c r="S170" s="132">
        <f t="shared" si="62"/>
        <v>8275.6999999999989</v>
      </c>
    </row>
    <row r="171" spans="1:19" s="80" customFormat="1" ht="31.5" x14ac:dyDescent="0.25">
      <c r="A171" s="267" t="s">
        <v>783</v>
      </c>
      <c r="B171" s="497" t="s">
        <v>22</v>
      </c>
      <c r="C171" s="496" t="s">
        <v>18</v>
      </c>
      <c r="D171" s="497" t="s">
        <v>20</v>
      </c>
      <c r="E171" s="285" t="s">
        <v>366</v>
      </c>
      <c r="F171" s="497" t="s">
        <v>9</v>
      </c>
      <c r="G171" s="283">
        <f t="shared" si="73"/>
        <v>8275.6999999999989</v>
      </c>
      <c r="H171" s="283">
        <f t="shared" si="73"/>
        <v>0</v>
      </c>
      <c r="I171" s="283">
        <f t="shared" si="73"/>
        <v>0</v>
      </c>
      <c r="J171" s="283">
        <f t="shared" si="73"/>
        <v>0</v>
      </c>
      <c r="K171" s="283">
        <f t="shared" si="73"/>
        <v>0</v>
      </c>
      <c r="L171" s="283">
        <f t="shared" si="73"/>
        <v>0</v>
      </c>
      <c r="M171" s="568">
        <f t="shared" si="73"/>
        <v>0</v>
      </c>
      <c r="N171" s="568">
        <f t="shared" si="73"/>
        <v>0</v>
      </c>
      <c r="O171" s="569">
        <f t="shared" si="73"/>
        <v>0</v>
      </c>
      <c r="P171" s="569">
        <f t="shared" si="73"/>
        <v>0</v>
      </c>
      <c r="Q171" s="569">
        <f t="shared" si="73"/>
        <v>0</v>
      </c>
      <c r="R171" s="569">
        <f t="shared" si="73"/>
        <v>0</v>
      </c>
      <c r="S171" s="132">
        <f t="shared" si="62"/>
        <v>8275.6999999999989</v>
      </c>
    </row>
    <row r="172" spans="1:19" s="80" customFormat="1" ht="47.25" x14ac:dyDescent="0.25">
      <c r="A172" s="267" t="s">
        <v>1110</v>
      </c>
      <c r="B172" s="497" t="s">
        <v>22</v>
      </c>
      <c r="C172" s="496" t="s">
        <v>18</v>
      </c>
      <c r="D172" s="497" t="s">
        <v>20</v>
      </c>
      <c r="E172" s="285" t="s">
        <v>386</v>
      </c>
      <c r="F172" s="497" t="s">
        <v>9</v>
      </c>
      <c r="G172" s="283">
        <f t="shared" si="73"/>
        <v>8275.6999999999989</v>
      </c>
      <c r="H172" s="283">
        <f t="shared" si="73"/>
        <v>0</v>
      </c>
      <c r="I172" s="283">
        <f t="shared" si="73"/>
        <v>0</v>
      </c>
      <c r="J172" s="283">
        <f t="shared" si="73"/>
        <v>0</v>
      </c>
      <c r="K172" s="283">
        <f t="shared" si="73"/>
        <v>0</v>
      </c>
      <c r="L172" s="283">
        <f t="shared" si="73"/>
        <v>0</v>
      </c>
      <c r="M172" s="568">
        <f t="shared" si="73"/>
        <v>0</v>
      </c>
      <c r="N172" s="568">
        <f t="shared" si="73"/>
        <v>0</v>
      </c>
      <c r="O172" s="569">
        <f t="shared" si="73"/>
        <v>0</v>
      </c>
      <c r="P172" s="569">
        <f t="shared" si="73"/>
        <v>0</v>
      </c>
      <c r="Q172" s="569">
        <f t="shared" si="73"/>
        <v>0</v>
      </c>
      <c r="R172" s="569">
        <f t="shared" si="73"/>
        <v>0</v>
      </c>
      <c r="S172" s="132">
        <f t="shared" si="62"/>
        <v>8275.6999999999989</v>
      </c>
    </row>
    <row r="173" spans="1:19" s="80" customFormat="1" ht="63" x14ac:dyDescent="0.25">
      <c r="A173" s="267" t="s">
        <v>1114</v>
      </c>
      <c r="B173" s="497" t="s">
        <v>22</v>
      </c>
      <c r="C173" s="496" t="s">
        <v>18</v>
      </c>
      <c r="D173" s="497" t="s">
        <v>20</v>
      </c>
      <c r="E173" s="285" t="s">
        <v>388</v>
      </c>
      <c r="F173" s="497" t="s">
        <v>9</v>
      </c>
      <c r="G173" s="283">
        <f t="shared" ref="G173:R173" si="74">G174+G175</f>
        <v>8275.6999999999989</v>
      </c>
      <c r="H173" s="283">
        <f t="shared" si="74"/>
        <v>0</v>
      </c>
      <c r="I173" s="283">
        <f t="shared" si="74"/>
        <v>0</v>
      </c>
      <c r="J173" s="283">
        <f t="shared" si="74"/>
        <v>0</v>
      </c>
      <c r="K173" s="283">
        <f t="shared" si="74"/>
        <v>0</v>
      </c>
      <c r="L173" s="283">
        <f t="shared" si="74"/>
        <v>0</v>
      </c>
      <c r="M173" s="568">
        <f t="shared" si="74"/>
        <v>0</v>
      </c>
      <c r="N173" s="568">
        <f t="shared" si="74"/>
        <v>0</v>
      </c>
      <c r="O173" s="569">
        <f t="shared" si="74"/>
        <v>0</v>
      </c>
      <c r="P173" s="569">
        <f t="shared" si="74"/>
        <v>0</v>
      </c>
      <c r="Q173" s="569">
        <f t="shared" si="74"/>
        <v>0</v>
      </c>
      <c r="R173" s="569">
        <f t="shared" si="74"/>
        <v>0</v>
      </c>
      <c r="S173" s="132">
        <f t="shared" si="62"/>
        <v>8275.6999999999989</v>
      </c>
    </row>
    <row r="174" spans="1:19" s="77" customFormat="1" ht="63" x14ac:dyDescent="0.25">
      <c r="A174" s="264" t="s">
        <v>115</v>
      </c>
      <c r="B174" s="380" t="s">
        <v>22</v>
      </c>
      <c r="C174" s="488" t="s">
        <v>18</v>
      </c>
      <c r="D174" s="380" t="s">
        <v>20</v>
      </c>
      <c r="E174" s="265" t="s">
        <v>388</v>
      </c>
      <c r="F174" s="380" t="s">
        <v>113</v>
      </c>
      <c r="G174" s="282">
        <f>9022.9-830</f>
        <v>8192.9</v>
      </c>
      <c r="H174" s="303"/>
      <c r="I174" s="265"/>
      <c r="J174" s="265"/>
      <c r="K174" s="265"/>
      <c r="L174" s="265"/>
      <c r="M174" s="570">
        <v>-1</v>
      </c>
      <c r="N174" s="570"/>
      <c r="O174" s="571"/>
      <c r="P174" s="571"/>
      <c r="Q174" s="571"/>
      <c r="R174" s="571"/>
      <c r="S174" s="566">
        <f t="shared" si="62"/>
        <v>8191.9</v>
      </c>
    </row>
    <row r="175" spans="1:19" s="77" customFormat="1" ht="31.5" x14ac:dyDescent="0.25">
      <c r="A175" s="264" t="s">
        <v>124</v>
      </c>
      <c r="B175" s="380" t="s">
        <v>22</v>
      </c>
      <c r="C175" s="488" t="s">
        <v>18</v>
      </c>
      <c r="D175" s="380" t="s">
        <v>20</v>
      </c>
      <c r="E175" s="265" t="s">
        <v>388</v>
      </c>
      <c r="F175" s="380" t="s">
        <v>117</v>
      </c>
      <c r="G175" s="282">
        <f>91.1-8.3</f>
        <v>82.8</v>
      </c>
      <c r="H175" s="303"/>
      <c r="I175" s="265"/>
      <c r="J175" s="265"/>
      <c r="K175" s="265"/>
      <c r="L175" s="265"/>
      <c r="M175" s="570">
        <v>1</v>
      </c>
      <c r="N175" s="570"/>
      <c r="O175" s="571"/>
      <c r="P175" s="571"/>
      <c r="Q175" s="571"/>
      <c r="R175" s="571"/>
      <c r="S175" s="566">
        <f t="shared" si="62"/>
        <v>83.8</v>
      </c>
    </row>
    <row r="176" spans="1:19" s="80" customFormat="1" x14ac:dyDescent="0.25">
      <c r="A176" s="267" t="s">
        <v>47</v>
      </c>
      <c r="B176" s="497" t="s">
        <v>22</v>
      </c>
      <c r="C176" s="496" t="s">
        <v>18</v>
      </c>
      <c r="D176" s="497" t="s">
        <v>25</v>
      </c>
      <c r="E176" s="285" t="s">
        <v>365</v>
      </c>
      <c r="F176" s="497" t="s">
        <v>9</v>
      </c>
      <c r="G176" s="283">
        <f t="shared" ref="G176:R176" si="75">G177</f>
        <v>1994.9</v>
      </c>
      <c r="H176" s="283">
        <f t="shared" si="75"/>
        <v>0</v>
      </c>
      <c r="I176" s="283">
        <f t="shared" si="75"/>
        <v>0</v>
      </c>
      <c r="J176" s="283">
        <f t="shared" si="75"/>
        <v>0</v>
      </c>
      <c r="K176" s="283">
        <f t="shared" si="75"/>
        <v>0</v>
      </c>
      <c r="L176" s="283">
        <f t="shared" si="75"/>
        <v>0</v>
      </c>
      <c r="M176" s="568">
        <f t="shared" si="75"/>
        <v>0</v>
      </c>
      <c r="N176" s="568">
        <f t="shared" si="75"/>
        <v>0</v>
      </c>
      <c r="O176" s="569">
        <f t="shared" si="75"/>
        <v>0</v>
      </c>
      <c r="P176" s="569">
        <f t="shared" si="75"/>
        <v>0</v>
      </c>
      <c r="Q176" s="569">
        <f t="shared" si="75"/>
        <v>0</v>
      </c>
      <c r="R176" s="569">
        <f t="shared" si="75"/>
        <v>0</v>
      </c>
      <c r="S176" s="132">
        <f t="shared" si="62"/>
        <v>1994.9</v>
      </c>
    </row>
    <row r="177" spans="1:19" s="80" customFormat="1" ht="31.5" x14ac:dyDescent="0.25">
      <c r="A177" s="267" t="s">
        <v>783</v>
      </c>
      <c r="B177" s="497" t="s">
        <v>22</v>
      </c>
      <c r="C177" s="496" t="s">
        <v>18</v>
      </c>
      <c r="D177" s="497" t="s">
        <v>25</v>
      </c>
      <c r="E177" s="285" t="s">
        <v>366</v>
      </c>
      <c r="F177" s="497" t="s">
        <v>9</v>
      </c>
      <c r="G177" s="283">
        <f t="shared" ref="G177:R177" si="76">G182+G178+G180+G185</f>
        <v>1994.9</v>
      </c>
      <c r="H177" s="283">
        <f t="shared" si="76"/>
        <v>0</v>
      </c>
      <c r="I177" s="283">
        <f t="shared" si="76"/>
        <v>0</v>
      </c>
      <c r="J177" s="283">
        <f t="shared" si="76"/>
        <v>0</v>
      </c>
      <c r="K177" s="283">
        <f t="shared" si="76"/>
        <v>0</v>
      </c>
      <c r="L177" s="283">
        <f t="shared" si="76"/>
        <v>0</v>
      </c>
      <c r="M177" s="568">
        <f t="shared" si="76"/>
        <v>0</v>
      </c>
      <c r="N177" s="568">
        <f t="shared" si="76"/>
        <v>0</v>
      </c>
      <c r="O177" s="569">
        <f t="shared" si="76"/>
        <v>0</v>
      </c>
      <c r="P177" s="569">
        <f t="shared" si="76"/>
        <v>0</v>
      </c>
      <c r="Q177" s="569">
        <f t="shared" si="76"/>
        <v>0</v>
      </c>
      <c r="R177" s="569">
        <f t="shared" si="76"/>
        <v>0</v>
      </c>
      <c r="S177" s="132">
        <f t="shared" si="62"/>
        <v>1994.9</v>
      </c>
    </row>
    <row r="178" spans="1:19" s="80" customFormat="1" ht="15.6" hidden="1" x14ac:dyDescent="0.3">
      <c r="A178" s="267" t="s">
        <v>179</v>
      </c>
      <c r="B178" s="497" t="s">
        <v>22</v>
      </c>
      <c r="C178" s="496" t="s">
        <v>18</v>
      </c>
      <c r="D178" s="497" t="s">
        <v>25</v>
      </c>
      <c r="E178" s="285" t="s">
        <v>371</v>
      </c>
      <c r="F178" s="497" t="s">
        <v>9</v>
      </c>
      <c r="G178" s="283">
        <f t="shared" ref="G178:R178" si="77">G179</f>
        <v>0</v>
      </c>
      <c r="H178" s="283">
        <f t="shared" si="77"/>
        <v>0</v>
      </c>
      <c r="I178" s="283">
        <f t="shared" si="77"/>
        <v>0</v>
      </c>
      <c r="J178" s="283">
        <f t="shared" si="77"/>
        <v>0</v>
      </c>
      <c r="K178" s="283">
        <f t="shared" si="77"/>
        <v>0</v>
      </c>
      <c r="L178" s="283">
        <f t="shared" si="77"/>
        <v>0</v>
      </c>
      <c r="M178" s="568">
        <f t="shared" si="77"/>
        <v>0</v>
      </c>
      <c r="N178" s="568">
        <f t="shared" si="77"/>
        <v>0</v>
      </c>
      <c r="O178" s="569">
        <f t="shared" si="77"/>
        <v>0</v>
      </c>
      <c r="P178" s="569">
        <f t="shared" si="77"/>
        <v>0</v>
      </c>
      <c r="Q178" s="569">
        <f t="shared" si="77"/>
        <v>0</v>
      </c>
      <c r="R178" s="569">
        <f t="shared" si="77"/>
        <v>0</v>
      </c>
      <c r="S178" s="132">
        <f t="shared" si="62"/>
        <v>0</v>
      </c>
    </row>
    <row r="179" spans="1:19" s="77" customFormat="1" ht="62.45" hidden="1" x14ac:dyDescent="0.3">
      <c r="A179" s="264" t="s">
        <v>115</v>
      </c>
      <c r="B179" s="380" t="s">
        <v>22</v>
      </c>
      <c r="C179" s="488" t="s">
        <v>18</v>
      </c>
      <c r="D179" s="380" t="s">
        <v>25</v>
      </c>
      <c r="E179" s="265" t="s">
        <v>371</v>
      </c>
      <c r="F179" s="380" t="s">
        <v>113</v>
      </c>
      <c r="G179" s="282"/>
      <c r="H179" s="303"/>
      <c r="I179" s="265"/>
      <c r="J179" s="265"/>
      <c r="K179" s="265"/>
      <c r="L179" s="265"/>
      <c r="M179" s="570"/>
      <c r="N179" s="570"/>
      <c r="O179" s="571"/>
      <c r="P179" s="571"/>
      <c r="Q179" s="571"/>
      <c r="R179" s="571"/>
      <c r="S179" s="131">
        <f t="shared" si="62"/>
        <v>0</v>
      </c>
    </row>
    <row r="180" spans="1:19" s="80" customFormat="1" ht="15.6" hidden="1" x14ac:dyDescent="0.3">
      <c r="A180" s="267" t="s">
        <v>38</v>
      </c>
      <c r="B180" s="497" t="s">
        <v>22</v>
      </c>
      <c r="C180" s="496" t="s">
        <v>18</v>
      </c>
      <c r="D180" s="497" t="s">
        <v>25</v>
      </c>
      <c r="E180" s="285" t="s">
        <v>377</v>
      </c>
      <c r="F180" s="497" t="s">
        <v>9</v>
      </c>
      <c r="G180" s="283">
        <f t="shared" ref="G180:R180" si="78">G181</f>
        <v>0</v>
      </c>
      <c r="H180" s="283">
        <f t="shared" si="78"/>
        <v>0</v>
      </c>
      <c r="I180" s="283">
        <f t="shared" si="78"/>
        <v>0</v>
      </c>
      <c r="J180" s="283">
        <f t="shared" si="78"/>
        <v>0</v>
      </c>
      <c r="K180" s="283">
        <f t="shared" si="78"/>
        <v>0</v>
      </c>
      <c r="L180" s="283">
        <f t="shared" si="78"/>
        <v>0</v>
      </c>
      <c r="M180" s="568">
        <f t="shared" si="78"/>
        <v>0</v>
      </c>
      <c r="N180" s="568">
        <f t="shared" si="78"/>
        <v>0</v>
      </c>
      <c r="O180" s="569">
        <f t="shared" si="78"/>
        <v>0</v>
      </c>
      <c r="P180" s="569">
        <f t="shared" si="78"/>
        <v>0</v>
      </c>
      <c r="Q180" s="569">
        <f t="shared" si="78"/>
        <v>0</v>
      </c>
      <c r="R180" s="569">
        <f t="shared" si="78"/>
        <v>0</v>
      </c>
      <c r="S180" s="132">
        <f t="shared" si="62"/>
        <v>0</v>
      </c>
    </row>
    <row r="181" spans="1:19" s="77" customFormat="1" ht="62.45" hidden="1" x14ac:dyDescent="0.3">
      <c r="A181" s="264" t="s">
        <v>115</v>
      </c>
      <c r="B181" s="380" t="s">
        <v>22</v>
      </c>
      <c r="C181" s="488" t="s">
        <v>18</v>
      </c>
      <c r="D181" s="380" t="s">
        <v>25</v>
      </c>
      <c r="E181" s="265" t="s">
        <v>377</v>
      </c>
      <c r="F181" s="380" t="s">
        <v>113</v>
      </c>
      <c r="G181" s="282"/>
      <c r="H181" s="303"/>
      <c r="I181" s="265"/>
      <c r="J181" s="265"/>
      <c r="K181" s="265"/>
      <c r="L181" s="265"/>
      <c r="M181" s="570"/>
      <c r="N181" s="570"/>
      <c r="O181" s="571"/>
      <c r="P181" s="571"/>
      <c r="Q181" s="571"/>
      <c r="R181" s="571"/>
      <c r="S181" s="131">
        <f t="shared" si="62"/>
        <v>0</v>
      </c>
    </row>
    <row r="182" spans="1:19" s="80" customFormat="1" ht="47.25" x14ac:dyDescent="0.25">
      <c r="A182" s="267" t="s">
        <v>1110</v>
      </c>
      <c r="B182" s="497" t="s">
        <v>22</v>
      </c>
      <c r="C182" s="496" t="s">
        <v>18</v>
      </c>
      <c r="D182" s="497" t="s">
        <v>25</v>
      </c>
      <c r="E182" s="285" t="s">
        <v>386</v>
      </c>
      <c r="F182" s="497" t="s">
        <v>9</v>
      </c>
      <c r="G182" s="283">
        <f t="shared" ref="G182:R183" si="79">G183</f>
        <v>1994.9</v>
      </c>
      <c r="H182" s="283">
        <f t="shared" si="79"/>
        <v>0</v>
      </c>
      <c r="I182" s="283">
        <f t="shared" si="79"/>
        <v>0</v>
      </c>
      <c r="J182" s="283">
        <f t="shared" si="79"/>
        <v>0</v>
      </c>
      <c r="K182" s="283">
        <f t="shared" si="79"/>
        <v>0</v>
      </c>
      <c r="L182" s="283">
        <f t="shared" si="79"/>
        <v>0</v>
      </c>
      <c r="M182" s="568">
        <f t="shared" si="79"/>
        <v>0</v>
      </c>
      <c r="N182" s="568">
        <f t="shared" si="79"/>
        <v>0</v>
      </c>
      <c r="O182" s="569">
        <f t="shared" si="79"/>
        <v>0</v>
      </c>
      <c r="P182" s="569">
        <f t="shared" si="79"/>
        <v>0</v>
      </c>
      <c r="Q182" s="569">
        <f t="shared" si="79"/>
        <v>0</v>
      </c>
      <c r="R182" s="569">
        <f t="shared" si="79"/>
        <v>0</v>
      </c>
      <c r="S182" s="132">
        <f t="shared" si="62"/>
        <v>1994.9</v>
      </c>
    </row>
    <row r="183" spans="1:19" s="80" customFormat="1" ht="63" x14ac:dyDescent="0.25">
      <c r="A183" s="267" t="s">
        <v>46</v>
      </c>
      <c r="B183" s="497" t="s">
        <v>22</v>
      </c>
      <c r="C183" s="496" t="s">
        <v>18</v>
      </c>
      <c r="D183" s="497" t="s">
        <v>25</v>
      </c>
      <c r="E183" s="285" t="s">
        <v>387</v>
      </c>
      <c r="F183" s="497" t="s">
        <v>9</v>
      </c>
      <c r="G183" s="283">
        <f t="shared" si="79"/>
        <v>1994.9</v>
      </c>
      <c r="H183" s="283">
        <f t="shared" si="79"/>
        <v>0</v>
      </c>
      <c r="I183" s="283">
        <f t="shared" si="79"/>
        <v>0</v>
      </c>
      <c r="J183" s="283">
        <f t="shared" si="79"/>
        <v>0</v>
      </c>
      <c r="K183" s="283">
        <f t="shared" si="79"/>
        <v>0</v>
      </c>
      <c r="L183" s="283">
        <f t="shared" si="79"/>
        <v>0</v>
      </c>
      <c r="M183" s="568">
        <f t="shared" si="79"/>
        <v>0</v>
      </c>
      <c r="N183" s="568">
        <f t="shared" si="79"/>
        <v>0</v>
      </c>
      <c r="O183" s="569">
        <f t="shared" si="79"/>
        <v>0</v>
      </c>
      <c r="P183" s="569">
        <f t="shared" si="79"/>
        <v>0</v>
      </c>
      <c r="Q183" s="569">
        <f t="shared" si="79"/>
        <v>0</v>
      </c>
      <c r="R183" s="569">
        <f t="shared" si="79"/>
        <v>0</v>
      </c>
      <c r="S183" s="132">
        <f t="shared" si="62"/>
        <v>1994.9</v>
      </c>
    </row>
    <row r="184" spans="1:19" s="77" customFormat="1" x14ac:dyDescent="0.25">
      <c r="A184" s="264" t="s">
        <v>125</v>
      </c>
      <c r="B184" s="380" t="s">
        <v>22</v>
      </c>
      <c r="C184" s="488" t="s">
        <v>18</v>
      </c>
      <c r="D184" s="380" t="s">
        <v>25</v>
      </c>
      <c r="E184" s="265" t="s">
        <v>387</v>
      </c>
      <c r="F184" s="380" t="s">
        <v>118</v>
      </c>
      <c r="G184" s="364">
        <v>1994.9</v>
      </c>
      <c r="H184" s="303"/>
      <c r="I184" s="265"/>
      <c r="J184" s="282"/>
      <c r="K184" s="265"/>
      <c r="L184" s="265"/>
      <c r="M184" s="570"/>
      <c r="N184" s="570"/>
      <c r="O184" s="571"/>
      <c r="P184" s="571"/>
      <c r="Q184" s="571"/>
      <c r="R184" s="571"/>
      <c r="S184" s="566">
        <f t="shared" si="62"/>
        <v>1994.9</v>
      </c>
    </row>
    <row r="185" spans="1:19" s="80" customFormat="1" ht="15.6" hidden="1" x14ac:dyDescent="0.3">
      <c r="A185" s="267" t="s">
        <v>39</v>
      </c>
      <c r="B185" s="497" t="s">
        <v>22</v>
      </c>
      <c r="C185" s="496" t="s">
        <v>18</v>
      </c>
      <c r="D185" s="497" t="s">
        <v>25</v>
      </c>
      <c r="E185" s="285" t="s">
        <v>372</v>
      </c>
      <c r="F185" s="497" t="s">
        <v>9</v>
      </c>
      <c r="G185" s="283">
        <f t="shared" ref="G185:R185" si="80">G186+G188</f>
        <v>0</v>
      </c>
      <c r="H185" s="283">
        <f t="shared" si="80"/>
        <v>0</v>
      </c>
      <c r="I185" s="283">
        <f t="shared" si="80"/>
        <v>0</v>
      </c>
      <c r="J185" s="283">
        <f t="shared" si="80"/>
        <v>0</v>
      </c>
      <c r="K185" s="283">
        <f t="shared" si="80"/>
        <v>0</v>
      </c>
      <c r="L185" s="283">
        <f t="shared" si="80"/>
        <v>0</v>
      </c>
      <c r="M185" s="568">
        <f t="shared" si="80"/>
        <v>0</v>
      </c>
      <c r="N185" s="568">
        <f t="shared" si="80"/>
        <v>0</v>
      </c>
      <c r="O185" s="569">
        <f t="shared" si="80"/>
        <v>0</v>
      </c>
      <c r="P185" s="569">
        <f t="shared" si="80"/>
        <v>0</v>
      </c>
      <c r="Q185" s="569">
        <f t="shared" si="80"/>
        <v>0</v>
      </c>
      <c r="R185" s="569">
        <f t="shared" si="80"/>
        <v>0</v>
      </c>
      <c r="S185" s="132">
        <f t="shared" si="62"/>
        <v>0</v>
      </c>
    </row>
    <row r="186" spans="1:19" s="80" customFormat="1" ht="62.45" hidden="1" x14ac:dyDescent="0.3">
      <c r="A186" s="267" t="s">
        <v>206</v>
      </c>
      <c r="B186" s="497" t="s">
        <v>22</v>
      </c>
      <c r="C186" s="496" t="s">
        <v>18</v>
      </c>
      <c r="D186" s="497" t="s">
        <v>25</v>
      </c>
      <c r="E186" s="285" t="s">
        <v>379</v>
      </c>
      <c r="F186" s="497" t="s">
        <v>9</v>
      </c>
      <c r="G186" s="283">
        <f t="shared" ref="G186:R186" si="81">G187</f>
        <v>0</v>
      </c>
      <c r="H186" s="283">
        <f t="shared" si="81"/>
        <v>0</v>
      </c>
      <c r="I186" s="283">
        <f t="shared" si="81"/>
        <v>0</v>
      </c>
      <c r="J186" s="283">
        <f t="shared" si="81"/>
        <v>0</v>
      </c>
      <c r="K186" s="283">
        <f t="shared" si="81"/>
        <v>0</v>
      </c>
      <c r="L186" s="283">
        <f t="shared" si="81"/>
        <v>0</v>
      </c>
      <c r="M186" s="568">
        <f t="shared" si="81"/>
        <v>0</v>
      </c>
      <c r="N186" s="568">
        <f t="shared" si="81"/>
        <v>0</v>
      </c>
      <c r="O186" s="569">
        <f t="shared" si="81"/>
        <v>0</v>
      </c>
      <c r="P186" s="569">
        <f t="shared" si="81"/>
        <v>0</v>
      </c>
      <c r="Q186" s="569">
        <f t="shared" si="81"/>
        <v>0</v>
      </c>
      <c r="R186" s="569">
        <f t="shared" si="81"/>
        <v>0</v>
      </c>
      <c r="S186" s="132">
        <f t="shared" si="62"/>
        <v>0</v>
      </c>
    </row>
    <row r="187" spans="1:19" s="77" customFormat="1" ht="62.45" hidden="1" x14ac:dyDescent="0.3">
      <c r="A187" s="264" t="s">
        <v>115</v>
      </c>
      <c r="B187" s="380" t="s">
        <v>22</v>
      </c>
      <c r="C187" s="488" t="s">
        <v>18</v>
      </c>
      <c r="D187" s="380" t="s">
        <v>25</v>
      </c>
      <c r="E187" s="265" t="s">
        <v>379</v>
      </c>
      <c r="F187" s="380" t="s">
        <v>113</v>
      </c>
      <c r="G187" s="282"/>
      <c r="H187" s="303"/>
      <c r="I187" s="265"/>
      <c r="J187" s="265"/>
      <c r="K187" s="265"/>
      <c r="L187" s="265"/>
      <c r="M187" s="570"/>
      <c r="N187" s="570"/>
      <c r="O187" s="571"/>
      <c r="P187" s="571"/>
      <c r="Q187" s="571"/>
      <c r="R187" s="571"/>
      <c r="S187" s="131">
        <f t="shared" si="62"/>
        <v>0</v>
      </c>
    </row>
    <row r="188" spans="1:19" s="80" customFormat="1" ht="46.9" hidden="1" x14ac:dyDescent="0.3">
      <c r="A188" s="267" t="s">
        <v>34</v>
      </c>
      <c r="B188" s="497" t="s">
        <v>22</v>
      </c>
      <c r="C188" s="496" t="s">
        <v>18</v>
      </c>
      <c r="D188" s="497" t="s">
        <v>25</v>
      </c>
      <c r="E188" s="285" t="s">
        <v>373</v>
      </c>
      <c r="F188" s="497" t="s">
        <v>9</v>
      </c>
      <c r="G188" s="283">
        <f t="shared" ref="G188:R188" si="82">G189</f>
        <v>0</v>
      </c>
      <c r="H188" s="283">
        <f t="shared" si="82"/>
        <v>0</v>
      </c>
      <c r="I188" s="283">
        <f t="shared" si="82"/>
        <v>0</v>
      </c>
      <c r="J188" s="283">
        <f t="shared" si="82"/>
        <v>0</v>
      </c>
      <c r="K188" s="283">
        <f t="shared" si="82"/>
        <v>0</v>
      </c>
      <c r="L188" s="283">
        <f t="shared" si="82"/>
        <v>0</v>
      </c>
      <c r="M188" s="568">
        <f t="shared" si="82"/>
        <v>0</v>
      </c>
      <c r="N188" s="568">
        <f t="shared" si="82"/>
        <v>0</v>
      </c>
      <c r="O188" s="569">
        <f t="shared" si="82"/>
        <v>0</v>
      </c>
      <c r="P188" s="569">
        <f t="shared" si="82"/>
        <v>0</v>
      </c>
      <c r="Q188" s="569">
        <f t="shared" si="82"/>
        <v>0</v>
      </c>
      <c r="R188" s="569">
        <f t="shared" si="82"/>
        <v>0</v>
      </c>
      <c r="S188" s="132">
        <f t="shared" si="62"/>
        <v>0</v>
      </c>
    </row>
    <row r="189" spans="1:19" s="77" customFormat="1" ht="62.45" hidden="1" x14ac:dyDescent="0.3">
      <c r="A189" s="264" t="s">
        <v>115</v>
      </c>
      <c r="B189" s="380" t="s">
        <v>22</v>
      </c>
      <c r="C189" s="488" t="s">
        <v>18</v>
      </c>
      <c r="D189" s="380" t="s">
        <v>25</v>
      </c>
      <c r="E189" s="265" t="s">
        <v>373</v>
      </c>
      <c r="F189" s="380" t="s">
        <v>113</v>
      </c>
      <c r="G189" s="282"/>
      <c r="H189" s="303"/>
      <c r="I189" s="265"/>
      <c r="J189" s="265"/>
      <c r="K189" s="265"/>
      <c r="L189" s="265"/>
      <c r="M189" s="570"/>
      <c r="N189" s="570"/>
      <c r="O189" s="571"/>
      <c r="P189" s="571"/>
      <c r="Q189" s="571"/>
      <c r="R189" s="571"/>
      <c r="S189" s="131">
        <f t="shared" si="62"/>
        <v>0</v>
      </c>
    </row>
    <row r="190" spans="1:19" s="77" customFormat="1" x14ac:dyDescent="0.25">
      <c r="A190" s="264" t="s">
        <v>97</v>
      </c>
      <c r="B190" s="380" t="s">
        <v>22</v>
      </c>
      <c r="C190" s="488" t="s">
        <v>51</v>
      </c>
      <c r="D190" s="380" t="s">
        <v>10</v>
      </c>
      <c r="E190" s="265" t="s">
        <v>365</v>
      </c>
      <c r="F190" s="380" t="s">
        <v>9</v>
      </c>
      <c r="G190" s="282">
        <f t="shared" ref="G190:R192" si="83">G191</f>
        <v>0</v>
      </c>
      <c r="H190" s="282">
        <f t="shared" si="83"/>
        <v>0</v>
      </c>
      <c r="I190" s="282">
        <f t="shared" si="83"/>
        <v>750</v>
      </c>
      <c r="J190" s="282">
        <f t="shared" si="83"/>
        <v>16</v>
      </c>
      <c r="K190" s="282">
        <f t="shared" si="83"/>
        <v>0</v>
      </c>
      <c r="L190" s="282">
        <f t="shared" si="83"/>
        <v>0</v>
      </c>
      <c r="M190" s="566">
        <f t="shared" si="83"/>
        <v>13</v>
      </c>
      <c r="N190" s="566">
        <f t="shared" si="83"/>
        <v>0</v>
      </c>
      <c r="O190" s="567">
        <f t="shared" si="83"/>
        <v>0</v>
      </c>
      <c r="P190" s="567">
        <f t="shared" si="83"/>
        <v>0</v>
      </c>
      <c r="Q190" s="567">
        <f t="shared" si="83"/>
        <v>0</v>
      </c>
      <c r="R190" s="567">
        <f t="shared" si="83"/>
        <v>0</v>
      </c>
      <c r="S190" s="131">
        <f t="shared" si="62"/>
        <v>779</v>
      </c>
    </row>
    <row r="191" spans="1:19" s="77" customFormat="1" x14ac:dyDescent="0.25">
      <c r="A191" s="267" t="s">
        <v>98</v>
      </c>
      <c r="B191" s="497" t="s">
        <v>22</v>
      </c>
      <c r="C191" s="496" t="s">
        <v>51</v>
      </c>
      <c r="D191" s="497" t="s">
        <v>36</v>
      </c>
      <c r="E191" s="285" t="s">
        <v>365</v>
      </c>
      <c r="F191" s="497" t="s">
        <v>9</v>
      </c>
      <c r="G191" s="283">
        <f t="shared" si="83"/>
        <v>0</v>
      </c>
      <c r="H191" s="283">
        <f t="shared" si="83"/>
        <v>0</v>
      </c>
      <c r="I191" s="283">
        <f t="shared" si="83"/>
        <v>750</v>
      </c>
      <c r="J191" s="283">
        <f t="shared" si="83"/>
        <v>16</v>
      </c>
      <c r="K191" s="283">
        <f t="shared" si="83"/>
        <v>0</v>
      </c>
      <c r="L191" s="283">
        <f t="shared" si="83"/>
        <v>0</v>
      </c>
      <c r="M191" s="568">
        <f t="shared" si="83"/>
        <v>13</v>
      </c>
      <c r="N191" s="568">
        <f t="shared" si="83"/>
        <v>0</v>
      </c>
      <c r="O191" s="569">
        <f t="shared" si="83"/>
        <v>0</v>
      </c>
      <c r="P191" s="569">
        <f t="shared" si="83"/>
        <v>0</v>
      </c>
      <c r="Q191" s="569">
        <f t="shared" si="83"/>
        <v>0</v>
      </c>
      <c r="R191" s="569">
        <f t="shared" si="83"/>
        <v>0</v>
      </c>
      <c r="S191" s="131">
        <f t="shared" si="62"/>
        <v>779</v>
      </c>
    </row>
    <row r="192" spans="1:19" s="77" customFormat="1" ht="31.5" x14ac:dyDescent="0.25">
      <c r="A192" s="267" t="s">
        <v>784</v>
      </c>
      <c r="B192" s="497" t="s">
        <v>22</v>
      </c>
      <c r="C192" s="496" t="s">
        <v>51</v>
      </c>
      <c r="D192" s="497" t="s">
        <v>36</v>
      </c>
      <c r="E192" s="285" t="s">
        <v>380</v>
      </c>
      <c r="F192" s="497" t="s">
        <v>9</v>
      </c>
      <c r="G192" s="283">
        <f t="shared" si="83"/>
        <v>0</v>
      </c>
      <c r="H192" s="283">
        <f t="shared" si="83"/>
        <v>0</v>
      </c>
      <c r="I192" s="283">
        <f t="shared" si="83"/>
        <v>750</v>
      </c>
      <c r="J192" s="283">
        <f t="shared" si="83"/>
        <v>16</v>
      </c>
      <c r="K192" s="283">
        <f t="shared" si="83"/>
        <v>0</v>
      </c>
      <c r="L192" s="283">
        <f t="shared" si="83"/>
        <v>0</v>
      </c>
      <c r="M192" s="568">
        <f t="shared" si="83"/>
        <v>13</v>
      </c>
      <c r="N192" s="568">
        <f t="shared" si="83"/>
        <v>0</v>
      </c>
      <c r="O192" s="569">
        <f t="shared" si="83"/>
        <v>0</v>
      </c>
      <c r="P192" s="569">
        <f t="shared" si="83"/>
        <v>0</v>
      </c>
      <c r="Q192" s="569">
        <f t="shared" si="83"/>
        <v>0</v>
      </c>
      <c r="R192" s="569">
        <f t="shared" si="83"/>
        <v>0</v>
      </c>
      <c r="S192" s="131">
        <f t="shared" si="62"/>
        <v>779</v>
      </c>
    </row>
    <row r="193" spans="1:19" s="77" customFormat="1" x14ac:dyDescent="0.25">
      <c r="A193" s="267" t="s">
        <v>15</v>
      </c>
      <c r="B193" s="497" t="s">
        <v>22</v>
      </c>
      <c r="C193" s="496" t="s">
        <v>51</v>
      </c>
      <c r="D193" s="497" t="s">
        <v>36</v>
      </c>
      <c r="E193" s="285" t="s">
        <v>433</v>
      </c>
      <c r="F193" s="497" t="s">
        <v>9</v>
      </c>
      <c r="G193" s="283">
        <f t="shared" ref="G193:R193" si="84">G194+G197+G199+G203</f>
        <v>0</v>
      </c>
      <c r="H193" s="283">
        <f t="shared" si="84"/>
        <v>0</v>
      </c>
      <c r="I193" s="283">
        <f t="shared" si="84"/>
        <v>750</v>
      </c>
      <c r="J193" s="283">
        <f t="shared" si="84"/>
        <v>16</v>
      </c>
      <c r="K193" s="283">
        <f t="shared" si="84"/>
        <v>0</v>
      </c>
      <c r="L193" s="283">
        <f t="shared" si="84"/>
        <v>0</v>
      </c>
      <c r="M193" s="568">
        <f t="shared" si="84"/>
        <v>13</v>
      </c>
      <c r="N193" s="568">
        <f t="shared" si="84"/>
        <v>0</v>
      </c>
      <c r="O193" s="132">
        <f t="shared" si="84"/>
        <v>0</v>
      </c>
      <c r="P193" s="132">
        <f t="shared" si="84"/>
        <v>0</v>
      </c>
      <c r="Q193" s="132">
        <f t="shared" si="84"/>
        <v>0</v>
      </c>
      <c r="R193" s="132">
        <f t="shared" si="84"/>
        <v>0</v>
      </c>
      <c r="S193" s="132">
        <f t="shared" si="62"/>
        <v>779</v>
      </c>
    </row>
    <row r="194" spans="1:19" s="77" customFormat="1" ht="46.9" hidden="1" x14ac:dyDescent="0.3">
      <c r="A194" s="267" t="s">
        <v>41</v>
      </c>
      <c r="B194" s="497" t="s">
        <v>22</v>
      </c>
      <c r="C194" s="496" t="s">
        <v>51</v>
      </c>
      <c r="D194" s="497" t="s">
        <v>36</v>
      </c>
      <c r="E194" s="285" t="s">
        <v>504</v>
      </c>
      <c r="F194" s="497" t="s">
        <v>9</v>
      </c>
      <c r="G194" s="283">
        <f t="shared" ref="G194:R195" si="85">G195</f>
        <v>0</v>
      </c>
      <c r="H194" s="283">
        <f t="shared" si="85"/>
        <v>0</v>
      </c>
      <c r="I194" s="283">
        <f t="shared" si="85"/>
        <v>0</v>
      </c>
      <c r="J194" s="283">
        <f t="shared" si="85"/>
        <v>0</v>
      </c>
      <c r="K194" s="283">
        <f t="shared" si="85"/>
        <v>0</v>
      </c>
      <c r="L194" s="283">
        <f t="shared" si="85"/>
        <v>0</v>
      </c>
      <c r="M194" s="568">
        <f t="shared" si="85"/>
        <v>0</v>
      </c>
      <c r="N194" s="568">
        <f t="shared" si="85"/>
        <v>0</v>
      </c>
      <c r="O194" s="569">
        <f t="shared" si="85"/>
        <v>0</v>
      </c>
      <c r="P194" s="569">
        <f t="shared" si="85"/>
        <v>0</v>
      </c>
      <c r="Q194" s="569">
        <f t="shared" si="85"/>
        <v>0</v>
      </c>
      <c r="R194" s="569">
        <f t="shared" si="85"/>
        <v>0</v>
      </c>
      <c r="S194" s="132">
        <f t="shared" si="62"/>
        <v>0</v>
      </c>
    </row>
    <row r="195" spans="1:19" s="77" customFormat="1" ht="31.15" hidden="1" x14ac:dyDescent="0.3">
      <c r="A195" s="267" t="s">
        <v>1043</v>
      </c>
      <c r="B195" s="497" t="s">
        <v>22</v>
      </c>
      <c r="C195" s="496" t="s">
        <v>51</v>
      </c>
      <c r="D195" s="497" t="s">
        <v>36</v>
      </c>
      <c r="E195" s="285" t="s">
        <v>1044</v>
      </c>
      <c r="F195" s="497" t="s">
        <v>9</v>
      </c>
      <c r="G195" s="283">
        <f t="shared" si="85"/>
        <v>0</v>
      </c>
      <c r="H195" s="283">
        <f t="shared" si="85"/>
        <v>0</v>
      </c>
      <c r="I195" s="283">
        <f t="shared" si="85"/>
        <v>0</v>
      </c>
      <c r="J195" s="283">
        <f t="shared" si="85"/>
        <v>0</v>
      </c>
      <c r="K195" s="283">
        <f t="shared" si="85"/>
        <v>0</v>
      </c>
      <c r="L195" s="283">
        <f t="shared" si="85"/>
        <v>0</v>
      </c>
      <c r="M195" s="568">
        <f t="shared" si="85"/>
        <v>0</v>
      </c>
      <c r="N195" s="568">
        <f t="shared" si="85"/>
        <v>0</v>
      </c>
      <c r="O195" s="569">
        <f t="shared" si="85"/>
        <v>0</v>
      </c>
      <c r="P195" s="569">
        <f t="shared" si="85"/>
        <v>0</v>
      </c>
      <c r="Q195" s="569">
        <f t="shared" si="85"/>
        <v>0</v>
      </c>
      <c r="R195" s="569">
        <f t="shared" si="85"/>
        <v>0</v>
      </c>
      <c r="S195" s="132">
        <f t="shared" si="62"/>
        <v>0</v>
      </c>
    </row>
    <row r="196" spans="1:19" s="77" customFormat="1" ht="31.15" hidden="1" x14ac:dyDescent="0.3">
      <c r="A196" s="264" t="s">
        <v>124</v>
      </c>
      <c r="B196" s="380" t="s">
        <v>22</v>
      </c>
      <c r="C196" s="488" t="s">
        <v>51</v>
      </c>
      <c r="D196" s="380" t="s">
        <v>36</v>
      </c>
      <c r="E196" s="265" t="s">
        <v>1044</v>
      </c>
      <c r="F196" s="380" t="s">
        <v>117</v>
      </c>
      <c r="G196" s="282"/>
      <c r="H196" s="303"/>
      <c r="I196" s="265"/>
      <c r="J196" s="265"/>
      <c r="K196" s="265"/>
      <c r="L196" s="265"/>
      <c r="M196" s="570"/>
      <c r="N196" s="570"/>
      <c r="O196" s="571"/>
      <c r="P196" s="571"/>
      <c r="Q196" s="571"/>
      <c r="R196" s="571"/>
      <c r="S196" s="131">
        <f t="shared" si="62"/>
        <v>0</v>
      </c>
    </row>
    <row r="197" spans="1:19" s="77" customFormat="1" ht="31.15" hidden="1" x14ac:dyDescent="0.3">
      <c r="A197" s="267" t="s">
        <v>1043</v>
      </c>
      <c r="B197" s="497" t="s">
        <v>22</v>
      </c>
      <c r="C197" s="496" t="s">
        <v>51</v>
      </c>
      <c r="D197" s="497" t="s">
        <v>36</v>
      </c>
      <c r="E197" s="285" t="s">
        <v>1045</v>
      </c>
      <c r="F197" s="497" t="s">
        <v>9</v>
      </c>
      <c r="G197" s="283">
        <f t="shared" ref="G197:R197" si="86">G198</f>
        <v>0</v>
      </c>
      <c r="H197" s="283">
        <f t="shared" si="86"/>
        <v>0</v>
      </c>
      <c r="I197" s="283">
        <f t="shared" si="86"/>
        <v>0</v>
      </c>
      <c r="J197" s="283">
        <f t="shared" si="86"/>
        <v>0</v>
      </c>
      <c r="K197" s="283">
        <f t="shared" si="86"/>
        <v>0</v>
      </c>
      <c r="L197" s="283">
        <f t="shared" si="86"/>
        <v>0</v>
      </c>
      <c r="M197" s="568">
        <f t="shared" si="86"/>
        <v>0</v>
      </c>
      <c r="N197" s="568">
        <f t="shared" si="86"/>
        <v>0</v>
      </c>
      <c r="O197" s="569">
        <f t="shared" si="86"/>
        <v>0</v>
      </c>
      <c r="P197" s="569">
        <f t="shared" si="86"/>
        <v>0</v>
      </c>
      <c r="Q197" s="569">
        <f t="shared" si="86"/>
        <v>0</v>
      </c>
      <c r="R197" s="569">
        <f t="shared" si="86"/>
        <v>0</v>
      </c>
      <c r="S197" s="132">
        <f t="shared" si="62"/>
        <v>0</v>
      </c>
    </row>
    <row r="198" spans="1:19" s="77" customFormat="1" ht="31.15" hidden="1" x14ac:dyDescent="0.3">
      <c r="A198" s="264" t="s">
        <v>124</v>
      </c>
      <c r="B198" s="380" t="s">
        <v>22</v>
      </c>
      <c r="C198" s="488" t="s">
        <v>51</v>
      </c>
      <c r="D198" s="380" t="s">
        <v>36</v>
      </c>
      <c r="E198" s="265" t="s">
        <v>1045</v>
      </c>
      <c r="F198" s="380" t="s">
        <v>117</v>
      </c>
      <c r="G198" s="282"/>
      <c r="H198" s="303"/>
      <c r="I198" s="265"/>
      <c r="J198" s="265"/>
      <c r="K198" s="265"/>
      <c r="L198" s="265"/>
      <c r="M198" s="570"/>
      <c r="N198" s="570"/>
      <c r="O198" s="571"/>
      <c r="P198" s="571"/>
      <c r="Q198" s="571"/>
      <c r="R198" s="571"/>
      <c r="S198" s="131">
        <f t="shared" si="62"/>
        <v>0</v>
      </c>
    </row>
    <row r="199" spans="1:19" s="80" customFormat="1" x14ac:dyDescent="0.25">
      <c r="A199" s="267" t="s">
        <v>39</v>
      </c>
      <c r="B199" s="497" t="s">
        <v>22</v>
      </c>
      <c r="C199" s="496" t="s">
        <v>51</v>
      </c>
      <c r="D199" s="497" t="s">
        <v>36</v>
      </c>
      <c r="E199" s="285" t="s">
        <v>1066</v>
      </c>
      <c r="F199" s="497" t="s">
        <v>9</v>
      </c>
      <c r="G199" s="283">
        <f t="shared" ref="G199:R199" si="87">G200</f>
        <v>0</v>
      </c>
      <c r="H199" s="283">
        <f t="shared" si="87"/>
        <v>0</v>
      </c>
      <c r="I199" s="283">
        <f t="shared" si="87"/>
        <v>750</v>
      </c>
      <c r="J199" s="283">
        <f t="shared" si="87"/>
        <v>0</v>
      </c>
      <c r="K199" s="283">
        <f t="shared" si="87"/>
        <v>0</v>
      </c>
      <c r="L199" s="283">
        <f t="shared" si="87"/>
        <v>0</v>
      </c>
      <c r="M199" s="568">
        <f t="shared" si="87"/>
        <v>0</v>
      </c>
      <c r="N199" s="568">
        <f t="shared" si="87"/>
        <v>0</v>
      </c>
      <c r="O199" s="132">
        <f t="shared" si="87"/>
        <v>0</v>
      </c>
      <c r="P199" s="132">
        <f t="shared" si="87"/>
        <v>0</v>
      </c>
      <c r="Q199" s="132">
        <f t="shared" si="87"/>
        <v>0</v>
      </c>
      <c r="R199" s="132">
        <f t="shared" si="87"/>
        <v>0</v>
      </c>
      <c r="S199" s="132">
        <f t="shared" si="62"/>
        <v>750</v>
      </c>
    </row>
    <row r="200" spans="1:19" s="80" customFormat="1" x14ac:dyDescent="0.25">
      <c r="A200" s="267" t="s">
        <v>1016</v>
      </c>
      <c r="B200" s="497" t="s">
        <v>22</v>
      </c>
      <c r="C200" s="496" t="s">
        <v>51</v>
      </c>
      <c r="D200" s="497" t="s">
        <v>36</v>
      </c>
      <c r="E200" s="285" t="s">
        <v>1067</v>
      </c>
      <c r="F200" s="497" t="s">
        <v>9</v>
      </c>
      <c r="G200" s="283">
        <f t="shared" ref="G200:R200" si="88">G202+G201</f>
        <v>0</v>
      </c>
      <c r="H200" s="283">
        <f t="shared" si="88"/>
        <v>0</v>
      </c>
      <c r="I200" s="283">
        <f t="shared" si="88"/>
        <v>750</v>
      </c>
      <c r="J200" s="283">
        <f t="shared" si="88"/>
        <v>0</v>
      </c>
      <c r="K200" s="283">
        <f t="shared" si="88"/>
        <v>0</v>
      </c>
      <c r="L200" s="283">
        <f t="shared" si="88"/>
        <v>0</v>
      </c>
      <c r="M200" s="568">
        <f t="shared" si="88"/>
        <v>0</v>
      </c>
      <c r="N200" s="568">
        <f t="shared" si="88"/>
        <v>0</v>
      </c>
      <c r="O200" s="132">
        <f t="shared" si="88"/>
        <v>0</v>
      </c>
      <c r="P200" s="132">
        <f t="shared" si="88"/>
        <v>0</v>
      </c>
      <c r="Q200" s="132">
        <f t="shared" si="88"/>
        <v>0</v>
      </c>
      <c r="R200" s="132">
        <f t="shared" si="88"/>
        <v>0</v>
      </c>
      <c r="S200" s="132">
        <f t="shared" si="62"/>
        <v>750</v>
      </c>
    </row>
    <row r="201" spans="1:19" s="77" customFormat="1" ht="63" x14ac:dyDescent="0.25">
      <c r="A201" s="264" t="s">
        <v>115</v>
      </c>
      <c r="B201" s="380" t="s">
        <v>22</v>
      </c>
      <c r="C201" s="488" t="s">
        <v>51</v>
      </c>
      <c r="D201" s="380" t="s">
        <v>36</v>
      </c>
      <c r="E201" s="265" t="s">
        <v>1067</v>
      </c>
      <c r="F201" s="380" t="s">
        <v>113</v>
      </c>
      <c r="G201" s="282"/>
      <c r="H201" s="282"/>
      <c r="I201" s="282">
        <v>75</v>
      </c>
      <c r="J201" s="282"/>
      <c r="K201" s="282"/>
      <c r="L201" s="363">
        <v>-15</v>
      </c>
      <c r="M201" s="566"/>
      <c r="N201" s="566"/>
      <c r="O201" s="131"/>
      <c r="P201" s="131"/>
      <c r="Q201" s="131"/>
      <c r="R201" s="131"/>
      <c r="S201" s="566">
        <f t="shared" si="62"/>
        <v>60</v>
      </c>
    </row>
    <row r="202" spans="1:19" s="77" customFormat="1" ht="31.5" x14ac:dyDescent="0.25">
      <c r="A202" s="264" t="s">
        <v>124</v>
      </c>
      <c r="B202" s="380" t="s">
        <v>22</v>
      </c>
      <c r="C202" s="488" t="s">
        <v>51</v>
      </c>
      <c r="D202" s="380" t="s">
        <v>36</v>
      </c>
      <c r="E202" s="265" t="s">
        <v>1067</v>
      </c>
      <c r="F202" s="380" t="s">
        <v>117</v>
      </c>
      <c r="G202" s="282"/>
      <c r="H202" s="303"/>
      <c r="I202" s="265">
        <v>675</v>
      </c>
      <c r="J202" s="265"/>
      <c r="K202" s="265"/>
      <c r="L202" s="419">
        <v>15</v>
      </c>
      <c r="M202" s="570"/>
      <c r="N202" s="570"/>
      <c r="O202" s="571"/>
      <c r="P202" s="571"/>
      <c r="Q202" s="571"/>
      <c r="R202" s="571"/>
      <c r="S202" s="566">
        <f t="shared" si="62"/>
        <v>690</v>
      </c>
    </row>
    <row r="203" spans="1:19" s="80" customFormat="1" ht="31.5" x14ac:dyDescent="0.25">
      <c r="A203" s="267" t="s">
        <v>99</v>
      </c>
      <c r="B203" s="497" t="s">
        <v>22</v>
      </c>
      <c r="C203" s="496" t="s">
        <v>51</v>
      </c>
      <c r="D203" s="497" t="s">
        <v>36</v>
      </c>
      <c r="E203" s="285" t="s">
        <v>458</v>
      </c>
      <c r="F203" s="497" t="s">
        <v>9</v>
      </c>
      <c r="G203" s="283">
        <f t="shared" ref="G203:R203" si="89">G204</f>
        <v>0</v>
      </c>
      <c r="H203" s="283">
        <f t="shared" si="89"/>
        <v>0</v>
      </c>
      <c r="I203" s="283">
        <f t="shared" si="89"/>
        <v>0</v>
      </c>
      <c r="J203" s="283">
        <f t="shared" si="89"/>
        <v>16</v>
      </c>
      <c r="K203" s="283">
        <f t="shared" si="89"/>
        <v>0</v>
      </c>
      <c r="L203" s="283">
        <f t="shared" si="89"/>
        <v>0</v>
      </c>
      <c r="M203" s="568">
        <f t="shared" si="89"/>
        <v>13</v>
      </c>
      <c r="N203" s="568">
        <f t="shared" si="89"/>
        <v>0</v>
      </c>
      <c r="O203" s="132">
        <f t="shared" si="89"/>
        <v>0</v>
      </c>
      <c r="P203" s="132">
        <f t="shared" si="89"/>
        <v>0</v>
      </c>
      <c r="Q203" s="132">
        <f t="shared" si="89"/>
        <v>0</v>
      </c>
      <c r="R203" s="132">
        <f t="shared" si="89"/>
        <v>0</v>
      </c>
      <c r="S203" s="132">
        <f t="shared" si="62"/>
        <v>29</v>
      </c>
    </row>
    <row r="204" spans="1:19" s="77" customFormat="1" ht="31.5" x14ac:dyDescent="0.25">
      <c r="A204" s="264" t="s">
        <v>124</v>
      </c>
      <c r="B204" s="380" t="s">
        <v>22</v>
      </c>
      <c r="C204" s="488" t="s">
        <v>51</v>
      </c>
      <c r="D204" s="380" t="s">
        <v>36</v>
      </c>
      <c r="E204" s="265" t="s">
        <v>458</v>
      </c>
      <c r="F204" s="380" t="s">
        <v>117</v>
      </c>
      <c r="G204" s="282"/>
      <c r="H204" s="303"/>
      <c r="I204" s="265"/>
      <c r="J204" s="265">
        <v>16</v>
      </c>
      <c r="K204" s="265"/>
      <c r="L204" s="265"/>
      <c r="M204" s="570">
        <v>13</v>
      </c>
      <c r="N204" s="570"/>
      <c r="O204" s="571"/>
      <c r="P204" s="571"/>
      <c r="Q204" s="571"/>
      <c r="R204" s="571"/>
      <c r="S204" s="566">
        <f t="shared" si="62"/>
        <v>29</v>
      </c>
    </row>
    <row r="205" spans="1:19" s="77" customFormat="1" ht="31.5" x14ac:dyDescent="0.25">
      <c r="A205" s="264" t="s">
        <v>48</v>
      </c>
      <c r="B205" s="380" t="s">
        <v>49</v>
      </c>
      <c r="C205" s="488" t="s">
        <v>10</v>
      </c>
      <c r="D205" s="380" t="s">
        <v>10</v>
      </c>
      <c r="E205" s="265" t="s">
        <v>365</v>
      </c>
      <c r="F205" s="380" t="s">
        <v>9</v>
      </c>
      <c r="G205" s="282">
        <f t="shared" ref="G205:R205" si="90">G206+G235+G264+G274+G240+G269+G253+G259</f>
        <v>5700</v>
      </c>
      <c r="H205" s="282">
        <f t="shared" si="90"/>
        <v>55287.539999999994</v>
      </c>
      <c r="I205" s="282">
        <f t="shared" si="90"/>
        <v>0</v>
      </c>
      <c r="J205" s="282">
        <f t="shared" si="90"/>
        <v>239.6</v>
      </c>
      <c r="K205" s="282">
        <f t="shared" si="90"/>
        <v>2130.9</v>
      </c>
      <c r="L205" s="282">
        <f t="shared" si="90"/>
        <v>-1478.8180200000002</v>
      </c>
      <c r="M205" s="566">
        <f t="shared" si="90"/>
        <v>30</v>
      </c>
      <c r="N205" s="566">
        <f t="shared" si="90"/>
        <v>370</v>
      </c>
      <c r="O205" s="567">
        <f t="shared" si="90"/>
        <v>0</v>
      </c>
      <c r="P205" s="567">
        <f t="shared" si="90"/>
        <v>0</v>
      </c>
      <c r="Q205" s="567">
        <f t="shared" si="90"/>
        <v>0</v>
      </c>
      <c r="R205" s="567">
        <f t="shared" si="90"/>
        <v>0</v>
      </c>
      <c r="S205" s="131">
        <f t="shared" si="62"/>
        <v>62279.221979999995</v>
      </c>
    </row>
    <row r="206" spans="1:19" s="77" customFormat="1" x14ac:dyDescent="0.25">
      <c r="A206" s="264" t="s">
        <v>23</v>
      </c>
      <c r="B206" s="380" t="s">
        <v>49</v>
      </c>
      <c r="C206" s="488" t="s">
        <v>14</v>
      </c>
      <c r="D206" s="380" t="s">
        <v>10</v>
      </c>
      <c r="E206" s="265" t="s">
        <v>365</v>
      </c>
      <c r="F206" s="380" t="s">
        <v>9</v>
      </c>
      <c r="G206" s="282">
        <f t="shared" ref="G206:R206" si="91">G207+G216+G221</f>
        <v>0</v>
      </c>
      <c r="H206" s="282">
        <f t="shared" si="91"/>
        <v>11077.34</v>
      </c>
      <c r="I206" s="282">
        <f t="shared" si="91"/>
        <v>0</v>
      </c>
      <c r="J206" s="282">
        <f t="shared" si="91"/>
        <v>0</v>
      </c>
      <c r="K206" s="282">
        <f t="shared" si="91"/>
        <v>0</v>
      </c>
      <c r="L206" s="282">
        <f t="shared" si="91"/>
        <v>-1698.8180200000002</v>
      </c>
      <c r="M206" s="566">
        <f t="shared" si="91"/>
        <v>0</v>
      </c>
      <c r="N206" s="566">
        <f t="shared" si="91"/>
        <v>0</v>
      </c>
      <c r="O206" s="567">
        <f t="shared" si="91"/>
        <v>0</v>
      </c>
      <c r="P206" s="567">
        <f t="shared" si="91"/>
        <v>0</v>
      </c>
      <c r="Q206" s="567">
        <f t="shared" si="91"/>
        <v>0</v>
      </c>
      <c r="R206" s="567">
        <f t="shared" si="91"/>
        <v>0</v>
      </c>
      <c r="S206" s="131">
        <f t="shared" si="62"/>
        <v>9378.5219799999995</v>
      </c>
    </row>
    <row r="207" spans="1:19" s="80" customFormat="1" ht="47.25" x14ac:dyDescent="0.25">
      <c r="A207" s="267" t="s">
        <v>24</v>
      </c>
      <c r="B207" s="497" t="s">
        <v>49</v>
      </c>
      <c r="C207" s="496" t="s">
        <v>14</v>
      </c>
      <c r="D207" s="497" t="s">
        <v>25</v>
      </c>
      <c r="E207" s="285" t="s">
        <v>365</v>
      </c>
      <c r="F207" s="497" t="s">
        <v>9</v>
      </c>
      <c r="G207" s="283">
        <f t="shared" ref="G207:R207" si="92">G208</f>
        <v>0</v>
      </c>
      <c r="H207" s="283">
        <f t="shared" si="92"/>
        <v>5984.7</v>
      </c>
      <c r="I207" s="283">
        <f t="shared" si="92"/>
        <v>0</v>
      </c>
      <c r="J207" s="283">
        <f t="shared" si="92"/>
        <v>0</v>
      </c>
      <c r="K207" s="283">
        <f t="shared" si="92"/>
        <v>0</v>
      </c>
      <c r="L207" s="283">
        <f t="shared" si="92"/>
        <v>0</v>
      </c>
      <c r="M207" s="568">
        <f t="shared" si="92"/>
        <v>0</v>
      </c>
      <c r="N207" s="568">
        <f t="shared" si="92"/>
        <v>0</v>
      </c>
      <c r="O207" s="569">
        <f t="shared" si="92"/>
        <v>0</v>
      </c>
      <c r="P207" s="569">
        <f t="shared" si="92"/>
        <v>0</v>
      </c>
      <c r="Q207" s="569">
        <f t="shared" si="92"/>
        <v>0</v>
      </c>
      <c r="R207" s="569">
        <f t="shared" si="92"/>
        <v>0</v>
      </c>
      <c r="S207" s="132">
        <f t="shared" si="62"/>
        <v>5984.7</v>
      </c>
    </row>
    <row r="208" spans="1:19" s="80" customFormat="1" ht="31.5" x14ac:dyDescent="0.25">
      <c r="A208" s="267" t="s">
        <v>785</v>
      </c>
      <c r="B208" s="497" t="s">
        <v>49</v>
      </c>
      <c r="C208" s="496" t="s">
        <v>14</v>
      </c>
      <c r="D208" s="497" t="s">
        <v>25</v>
      </c>
      <c r="E208" s="285" t="s">
        <v>389</v>
      </c>
      <c r="F208" s="497" t="s">
        <v>9</v>
      </c>
      <c r="G208" s="283">
        <f t="shared" ref="G208:R208" si="93">G209+G213</f>
        <v>0</v>
      </c>
      <c r="H208" s="283">
        <f t="shared" si="93"/>
        <v>5984.7</v>
      </c>
      <c r="I208" s="283">
        <f t="shared" si="93"/>
        <v>0</v>
      </c>
      <c r="J208" s="283">
        <f t="shared" si="93"/>
        <v>0</v>
      </c>
      <c r="K208" s="283">
        <f t="shared" si="93"/>
        <v>0</v>
      </c>
      <c r="L208" s="283">
        <f t="shared" si="93"/>
        <v>0</v>
      </c>
      <c r="M208" s="568">
        <f t="shared" si="93"/>
        <v>0</v>
      </c>
      <c r="N208" s="568">
        <f t="shared" si="93"/>
        <v>0</v>
      </c>
      <c r="O208" s="569">
        <f t="shared" si="93"/>
        <v>0</v>
      </c>
      <c r="P208" s="569">
        <f t="shared" si="93"/>
        <v>0</v>
      </c>
      <c r="Q208" s="569">
        <f t="shared" si="93"/>
        <v>0</v>
      </c>
      <c r="R208" s="569">
        <f t="shared" si="93"/>
        <v>0</v>
      </c>
      <c r="S208" s="132">
        <f t="shared" si="62"/>
        <v>5984.7</v>
      </c>
    </row>
    <row r="209" spans="1:19" s="80" customFormat="1" ht="31.5" x14ac:dyDescent="0.25">
      <c r="A209" s="267" t="s">
        <v>700</v>
      </c>
      <c r="B209" s="497" t="s">
        <v>49</v>
      </c>
      <c r="C209" s="496" t="s">
        <v>14</v>
      </c>
      <c r="D209" s="497" t="s">
        <v>25</v>
      </c>
      <c r="E209" s="285" t="s">
        <v>390</v>
      </c>
      <c r="F209" s="497" t="s">
        <v>9</v>
      </c>
      <c r="G209" s="283">
        <f>G210</f>
        <v>0</v>
      </c>
      <c r="H209" s="283">
        <f>H210</f>
        <v>5674.7</v>
      </c>
      <c r="I209" s="283">
        <f t="shared" ref="I209:R209" si="94">I210</f>
        <v>0</v>
      </c>
      <c r="J209" s="283">
        <f t="shared" si="94"/>
        <v>0</v>
      </c>
      <c r="K209" s="283">
        <f t="shared" si="94"/>
        <v>0</v>
      </c>
      <c r="L209" s="283">
        <f t="shared" si="94"/>
        <v>0</v>
      </c>
      <c r="M209" s="568">
        <f t="shared" si="94"/>
        <v>0</v>
      </c>
      <c r="N209" s="568">
        <f t="shared" si="94"/>
        <v>0</v>
      </c>
      <c r="O209" s="569">
        <f t="shared" si="94"/>
        <v>0</v>
      </c>
      <c r="P209" s="569">
        <f t="shared" si="94"/>
        <v>0</v>
      </c>
      <c r="Q209" s="569">
        <f t="shared" si="94"/>
        <v>0</v>
      </c>
      <c r="R209" s="569">
        <f t="shared" si="94"/>
        <v>0</v>
      </c>
      <c r="S209" s="132">
        <f t="shared" si="62"/>
        <v>5674.7</v>
      </c>
    </row>
    <row r="210" spans="1:19" s="80" customFormat="1" x14ac:dyDescent="0.25">
      <c r="A210" s="267" t="s">
        <v>26</v>
      </c>
      <c r="B210" s="497" t="s">
        <v>49</v>
      </c>
      <c r="C210" s="496" t="s">
        <v>14</v>
      </c>
      <c r="D210" s="497" t="s">
        <v>25</v>
      </c>
      <c r="E210" s="285" t="s">
        <v>391</v>
      </c>
      <c r="F210" s="497" t="s">
        <v>9</v>
      </c>
      <c r="G210" s="283">
        <f t="shared" ref="G210:R210" si="95">G211+G212</f>
        <v>0</v>
      </c>
      <c r="H210" s="283">
        <f t="shared" si="95"/>
        <v>5674.7</v>
      </c>
      <c r="I210" s="283">
        <f t="shared" si="95"/>
        <v>0</v>
      </c>
      <c r="J210" s="283">
        <f t="shared" si="95"/>
        <v>0</v>
      </c>
      <c r="K210" s="283">
        <f t="shared" si="95"/>
        <v>0</v>
      </c>
      <c r="L210" s="283">
        <f t="shared" si="95"/>
        <v>0</v>
      </c>
      <c r="M210" s="568">
        <f t="shared" si="95"/>
        <v>0</v>
      </c>
      <c r="N210" s="568">
        <f t="shared" si="95"/>
        <v>0</v>
      </c>
      <c r="O210" s="569">
        <f t="shared" si="95"/>
        <v>0</v>
      </c>
      <c r="P210" s="569">
        <f t="shared" si="95"/>
        <v>0</v>
      </c>
      <c r="Q210" s="569">
        <f t="shared" si="95"/>
        <v>0</v>
      </c>
      <c r="R210" s="569">
        <f t="shared" si="95"/>
        <v>0</v>
      </c>
      <c r="S210" s="132">
        <f t="shared" si="62"/>
        <v>5674.7</v>
      </c>
    </row>
    <row r="211" spans="1:19" s="77" customFormat="1" ht="63" x14ac:dyDescent="0.25">
      <c r="A211" s="264" t="s">
        <v>115</v>
      </c>
      <c r="B211" s="380" t="s">
        <v>49</v>
      </c>
      <c r="C211" s="488" t="s">
        <v>14</v>
      </c>
      <c r="D211" s="380" t="s">
        <v>25</v>
      </c>
      <c r="E211" s="265" t="s">
        <v>391</v>
      </c>
      <c r="F211" s="380" t="s">
        <v>113</v>
      </c>
      <c r="G211" s="282"/>
      <c r="H211" s="282">
        <v>5620.3</v>
      </c>
      <c r="I211" s="265"/>
      <c r="J211" s="265"/>
      <c r="K211" s="265"/>
      <c r="L211" s="265"/>
      <c r="M211" s="570"/>
      <c r="N211" s="570"/>
      <c r="O211" s="571"/>
      <c r="P211" s="571"/>
      <c r="Q211" s="571"/>
      <c r="R211" s="571"/>
      <c r="S211" s="566">
        <f t="shared" ref="S211:S277" si="96">G211+H211+I211+J211+K211+L211+M211+N211+O211+P211+Q211+R211</f>
        <v>5620.3</v>
      </c>
    </row>
    <row r="212" spans="1:19" s="77" customFormat="1" ht="31.5" x14ac:dyDescent="0.25">
      <c r="A212" s="264" t="s">
        <v>124</v>
      </c>
      <c r="B212" s="380" t="s">
        <v>49</v>
      </c>
      <c r="C212" s="488" t="s">
        <v>14</v>
      </c>
      <c r="D212" s="380" t="s">
        <v>25</v>
      </c>
      <c r="E212" s="265" t="s">
        <v>391</v>
      </c>
      <c r="F212" s="380" t="s">
        <v>117</v>
      </c>
      <c r="G212" s="282"/>
      <c r="H212" s="282">
        <f>44+10.4</f>
        <v>54.4</v>
      </c>
      <c r="I212" s="265"/>
      <c r="J212" s="265"/>
      <c r="K212" s="265"/>
      <c r="L212" s="265"/>
      <c r="M212" s="570"/>
      <c r="N212" s="570"/>
      <c r="O212" s="571"/>
      <c r="P212" s="571"/>
      <c r="Q212" s="571"/>
      <c r="R212" s="571"/>
      <c r="S212" s="566">
        <f t="shared" si="96"/>
        <v>54.4</v>
      </c>
    </row>
    <row r="213" spans="1:19" s="80" customFormat="1" x14ac:dyDescent="0.25">
      <c r="A213" s="267" t="s">
        <v>127</v>
      </c>
      <c r="B213" s="497" t="s">
        <v>49</v>
      </c>
      <c r="C213" s="496" t="s">
        <v>14</v>
      </c>
      <c r="D213" s="497" t="s">
        <v>25</v>
      </c>
      <c r="E213" s="285" t="s">
        <v>392</v>
      </c>
      <c r="F213" s="497" t="s">
        <v>9</v>
      </c>
      <c r="G213" s="283">
        <f t="shared" ref="G213:R214" si="97">G214</f>
        <v>0</v>
      </c>
      <c r="H213" s="283">
        <f t="shared" si="97"/>
        <v>310</v>
      </c>
      <c r="I213" s="283">
        <f t="shared" si="97"/>
        <v>0</v>
      </c>
      <c r="J213" s="283">
        <f t="shared" si="97"/>
        <v>0</v>
      </c>
      <c r="K213" s="283">
        <f t="shared" si="97"/>
        <v>0</v>
      </c>
      <c r="L213" s="283">
        <f t="shared" si="97"/>
        <v>0</v>
      </c>
      <c r="M213" s="568">
        <f t="shared" si="97"/>
        <v>0</v>
      </c>
      <c r="N213" s="568">
        <f t="shared" si="97"/>
        <v>0</v>
      </c>
      <c r="O213" s="569">
        <f t="shared" si="97"/>
        <v>0</v>
      </c>
      <c r="P213" s="569">
        <f t="shared" si="97"/>
        <v>0</v>
      </c>
      <c r="Q213" s="569">
        <f t="shared" si="97"/>
        <v>0</v>
      </c>
      <c r="R213" s="569">
        <f t="shared" si="97"/>
        <v>0</v>
      </c>
      <c r="S213" s="132">
        <f t="shared" si="96"/>
        <v>310</v>
      </c>
    </row>
    <row r="214" spans="1:19" s="80" customFormat="1" ht="31.5" x14ac:dyDescent="0.25">
      <c r="A214" s="267" t="s">
        <v>16</v>
      </c>
      <c r="B214" s="497" t="s">
        <v>49</v>
      </c>
      <c r="C214" s="496" t="s">
        <v>14</v>
      </c>
      <c r="D214" s="497" t="s">
        <v>25</v>
      </c>
      <c r="E214" s="285" t="s">
        <v>393</v>
      </c>
      <c r="F214" s="497" t="s">
        <v>9</v>
      </c>
      <c r="G214" s="283">
        <f t="shared" si="97"/>
        <v>0</v>
      </c>
      <c r="H214" s="283">
        <f t="shared" si="97"/>
        <v>310</v>
      </c>
      <c r="I214" s="283">
        <f t="shared" si="97"/>
        <v>0</v>
      </c>
      <c r="J214" s="283">
        <f t="shared" si="97"/>
        <v>0</v>
      </c>
      <c r="K214" s="283">
        <f t="shared" si="97"/>
        <v>0</v>
      </c>
      <c r="L214" s="283">
        <f t="shared" si="97"/>
        <v>0</v>
      </c>
      <c r="M214" s="568">
        <f t="shared" si="97"/>
        <v>0</v>
      </c>
      <c r="N214" s="568">
        <f t="shared" si="97"/>
        <v>0</v>
      </c>
      <c r="O214" s="569">
        <f t="shared" si="97"/>
        <v>0</v>
      </c>
      <c r="P214" s="569">
        <f t="shared" si="97"/>
        <v>0</v>
      </c>
      <c r="Q214" s="569">
        <f t="shared" si="97"/>
        <v>0</v>
      </c>
      <c r="R214" s="569">
        <f t="shared" si="97"/>
        <v>0</v>
      </c>
      <c r="S214" s="132">
        <f t="shared" si="96"/>
        <v>310</v>
      </c>
    </row>
    <row r="215" spans="1:19" s="77" customFormat="1" ht="63" x14ac:dyDescent="0.25">
      <c r="A215" s="264" t="s">
        <v>115</v>
      </c>
      <c r="B215" s="380" t="s">
        <v>49</v>
      </c>
      <c r="C215" s="488" t="s">
        <v>14</v>
      </c>
      <c r="D215" s="380" t="s">
        <v>25</v>
      </c>
      <c r="E215" s="265" t="s">
        <v>393</v>
      </c>
      <c r="F215" s="380" t="s">
        <v>113</v>
      </c>
      <c r="G215" s="282"/>
      <c r="H215" s="282">
        <v>310</v>
      </c>
      <c r="I215" s="265"/>
      <c r="J215" s="265"/>
      <c r="K215" s="265"/>
      <c r="L215" s="265"/>
      <c r="M215" s="570"/>
      <c r="N215" s="570"/>
      <c r="O215" s="571"/>
      <c r="P215" s="571"/>
      <c r="Q215" s="571"/>
      <c r="R215" s="571"/>
      <c r="S215" s="566">
        <f t="shared" si="96"/>
        <v>310</v>
      </c>
    </row>
    <row r="216" spans="1:19" s="80" customFormat="1" x14ac:dyDescent="0.25">
      <c r="A216" s="267" t="s">
        <v>50</v>
      </c>
      <c r="B216" s="497" t="s">
        <v>49</v>
      </c>
      <c r="C216" s="496" t="s">
        <v>14</v>
      </c>
      <c r="D216" s="497" t="s">
        <v>51</v>
      </c>
      <c r="E216" s="285" t="s">
        <v>365</v>
      </c>
      <c r="F216" s="497" t="s">
        <v>9</v>
      </c>
      <c r="G216" s="283">
        <f t="shared" ref="G216:R219" si="98">G217</f>
        <v>0</v>
      </c>
      <c r="H216" s="283">
        <f t="shared" si="98"/>
        <v>100</v>
      </c>
      <c r="I216" s="283">
        <f t="shared" si="98"/>
        <v>0</v>
      </c>
      <c r="J216" s="283">
        <f t="shared" si="98"/>
        <v>0</v>
      </c>
      <c r="K216" s="283">
        <f t="shared" si="98"/>
        <v>0</v>
      </c>
      <c r="L216" s="283">
        <f t="shared" si="98"/>
        <v>0</v>
      </c>
      <c r="M216" s="568">
        <f t="shared" si="98"/>
        <v>0</v>
      </c>
      <c r="N216" s="568">
        <f t="shared" si="98"/>
        <v>0</v>
      </c>
      <c r="O216" s="569">
        <f t="shared" si="98"/>
        <v>0</v>
      </c>
      <c r="P216" s="569">
        <f t="shared" si="98"/>
        <v>0</v>
      </c>
      <c r="Q216" s="569">
        <f t="shared" si="98"/>
        <v>0</v>
      </c>
      <c r="R216" s="569">
        <f t="shared" si="98"/>
        <v>0</v>
      </c>
      <c r="S216" s="132">
        <f t="shared" si="96"/>
        <v>100</v>
      </c>
    </row>
    <row r="217" spans="1:19" s="80" customFormat="1" ht="31.5" x14ac:dyDescent="0.25">
      <c r="A217" s="267" t="s">
        <v>784</v>
      </c>
      <c r="B217" s="497" t="s">
        <v>49</v>
      </c>
      <c r="C217" s="496" t="s">
        <v>14</v>
      </c>
      <c r="D217" s="497" t="s">
        <v>51</v>
      </c>
      <c r="E217" s="285" t="s">
        <v>380</v>
      </c>
      <c r="F217" s="497" t="s">
        <v>9</v>
      </c>
      <c r="G217" s="283">
        <f t="shared" si="98"/>
        <v>0</v>
      </c>
      <c r="H217" s="283">
        <f t="shared" si="98"/>
        <v>100</v>
      </c>
      <c r="I217" s="283">
        <f t="shared" si="98"/>
        <v>0</v>
      </c>
      <c r="J217" s="283">
        <f t="shared" si="98"/>
        <v>0</v>
      </c>
      <c r="K217" s="283">
        <f t="shared" si="98"/>
        <v>0</v>
      </c>
      <c r="L217" s="283">
        <f t="shared" si="98"/>
        <v>0</v>
      </c>
      <c r="M217" s="568">
        <f t="shared" si="98"/>
        <v>0</v>
      </c>
      <c r="N217" s="568">
        <f t="shared" si="98"/>
        <v>0</v>
      </c>
      <c r="O217" s="569">
        <f t="shared" si="98"/>
        <v>0</v>
      </c>
      <c r="P217" s="569">
        <f t="shared" si="98"/>
        <v>0</v>
      </c>
      <c r="Q217" s="569">
        <f t="shared" si="98"/>
        <v>0</v>
      </c>
      <c r="R217" s="569">
        <f t="shared" si="98"/>
        <v>0</v>
      </c>
      <c r="S217" s="132">
        <f t="shared" si="96"/>
        <v>100</v>
      </c>
    </row>
    <row r="218" spans="1:19" s="80" customFormat="1" ht="31.5" x14ac:dyDescent="0.25">
      <c r="A218" s="267" t="s">
        <v>52</v>
      </c>
      <c r="B218" s="497" t="s">
        <v>49</v>
      </c>
      <c r="C218" s="496" t="s">
        <v>14</v>
      </c>
      <c r="D218" s="497" t="s">
        <v>51</v>
      </c>
      <c r="E218" s="285" t="s">
        <v>394</v>
      </c>
      <c r="F218" s="497" t="s">
        <v>9</v>
      </c>
      <c r="G218" s="283">
        <f t="shared" si="98"/>
        <v>0</v>
      </c>
      <c r="H218" s="283">
        <f t="shared" si="98"/>
        <v>100</v>
      </c>
      <c r="I218" s="283">
        <f t="shared" si="98"/>
        <v>0</v>
      </c>
      <c r="J218" s="283">
        <f t="shared" si="98"/>
        <v>0</v>
      </c>
      <c r="K218" s="283">
        <f t="shared" si="98"/>
        <v>0</v>
      </c>
      <c r="L218" s="283">
        <f t="shared" si="98"/>
        <v>0</v>
      </c>
      <c r="M218" s="568">
        <f t="shared" si="98"/>
        <v>0</v>
      </c>
      <c r="N218" s="568">
        <f t="shared" si="98"/>
        <v>0</v>
      </c>
      <c r="O218" s="569">
        <f t="shared" si="98"/>
        <v>0</v>
      </c>
      <c r="P218" s="569">
        <f t="shared" si="98"/>
        <v>0</v>
      </c>
      <c r="Q218" s="569">
        <f t="shared" si="98"/>
        <v>0</v>
      </c>
      <c r="R218" s="569">
        <f t="shared" si="98"/>
        <v>0</v>
      </c>
      <c r="S218" s="132">
        <f t="shared" si="96"/>
        <v>100</v>
      </c>
    </row>
    <row r="219" spans="1:19" s="80" customFormat="1" ht="47.25" x14ac:dyDescent="0.25">
      <c r="A219" s="267" t="s">
        <v>53</v>
      </c>
      <c r="B219" s="497" t="s">
        <v>49</v>
      </c>
      <c r="C219" s="496" t="s">
        <v>14</v>
      </c>
      <c r="D219" s="497" t="s">
        <v>51</v>
      </c>
      <c r="E219" s="285" t="s">
        <v>395</v>
      </c>
      <c r="F219" s="497" t="s">
        <v>9</v>
      </c>
      <c r="G219" s="283">
        <f t="shared" si="98"/>
        <v>0</v>
      </c>
      <c r="H219" s="283">
        <f t="shared" si="98"/>
        <v>100</v>
      </c>
      <c r="I219" s="283">
        <f t="shared" si="98"/>
        <v>0</v>
      </c>
      <c r="J219" s="283">
        <f t="shared" si="98"/>
        <v>0</v>
      </c>
      <c r="K219" s="283">
        <f t="shared" si="98"/>
        <v>0</v>
      </c>
      <c r="L219" s="283">
        <f t="shared" si="98"/>
        <v>0</v>
      </c>
      <c r="M219" s="568">
        <f t="shared" si="98"/>
        <v>0</v>
      </c>
      <c r="N219" s="568">
        <f t="shared" si="98"/>
        <v>0</v>
      </c>
      <c r="O219" s="569">
        <f t="shared" si="98"/>
        <v>0</v>
      </c>
      <c r="P219" s="569">
        <f t="shared" si="98"/>
        <v>0</v>
      </c>
      <c r="Q219" s="569">
        <f t="shared" si="98"/>
        <v>0</v>
      </c>
      <c r="R219" s="569">
        <f t="shared" si="98"/>
        <v>0</v>
      </c>
      <c r="S219" s="132">
        <f t="shared" si="96"/>
        <v>100</v>
      </c>
    </row>
    <row r="220" spans="1:19" s="77" customFormat="1" x14ac:dyDescent="0.25">
      <c r="A220" s="264" t="s">
        <v>116</v>
      </c>
      <c r="B220" s="380" t="s">
        <v>49</v>
      </c>
      <c r="C220" s="488" t="s">
        <v>14</v>
      </c>
      <c r="D220" s="380" t="s">
        <v>51</v>
      </c>
      <c r="E220" s="265" t="s">
        <v>395</v>
      </c>
      <c r="F220" s="380" t="s">
        <v>114</v>
      </c>
      <c r="G220" s="282"/>
      <c r="H220" s="282">
        <v>100</v>
      </c>
      <c r="I220" s="265"/>
      <c r="J220" s="265"/>
      <c r="K220" s="265"/>
      <c r="L220" s="265"/>
      <c r="M220" s="570"/>
      <c r="N220" s="570"/>
      <c r="O220" s="571"/>
      <c r="P220" s="571"/>
      <c r="Q220" s="571"/>
      <c r="R220" s="571"/>
      <c r="S220" s="566">
        <f t="shared" si="96"/>
        <v>100</v>
      </c>
    </row>
    <row r="221" spans="1:19" s="80" customFormat="1" x14ac:dyDescent="0.25">
      <c r="A221" s="267" t="s">
        <v>27</v>
      </c>
      <c r="B221" s="497" t="s">
        <v>49</v>
      </c>
      <c r="C221" s="496" t="s">
        <v>14</v>
      </c>
      <c r="D221" s="497" t="s">
        <v>28</v>
      </c>
      <c r="E221" s="285" t="s">
        <v>365</v>
      </c>
      <c r="F221" s="497" t="s">
        <v>9</v>
      </c>
      <c r="G221" s="283">
        <f t="shared" ref="G221:R221" si="99">G222</f>
        <v>0</v>
      </c>
      <c r="H221" s="283">
        <f t="shared" si="99"/>
        <v>4992.6400000000003</v>
      </c>
      <c r="I221" s="283">
        <f t="shared" si="99"/>
        <v>0</v>
      </c>
      <c r="J221" s="283">
        <f t="shared" si="99"/>
        <v>0</v>
      </c>
      <c r="K221" s="283">
        <f t="shared" si="99"/>
        <v>0</v>
      </c>
      <c r="L221" s="283">
        <f t="shared" si="99"/>
        <v>-1698.8180200000002</v>
      </c>
      <c r="M221" s="568">
        <f t="shared" si="99"/>
        <v>0</v>
      </c>
      <c r="N221" s="568">
        <f t="shared" si="99"/>
        <v>0</v>
      </c>
      <c r="O221" s="569">
        <f t="shared" si="99"/>
        <v>0</v>
      </c>
      <c r="P221" s="569">
        <f t="shared" si="99"/>
        <v>0</v>
      </c>
      <c r="Q221" s="569">
        <f t="shared" si="99"/>
        <v>0</v>
      </c>
      <c r="R221" s="569">
        <f t="shared" si="99"/>
        <v>0</v>
      </c>
      <c r="S221" s="132">
        <f t="shared" si="96"/>
        <v>3293.8219800000002</v>
      </c>
    </row>
    <row r="222" spans="1:19" s="80" customFormat="1" ht="31.5" x14ac:dyDescent="0.25">
      <c r="A222" s="267" t="s">
        <v>785</v>
      </c>
      <c r="B222" s="497" t="s">
        <v>49</v>
      </c>
      <c r="C222" s="496" t="s">
        <v>14</v>
      </c>
      <c r="D222" s="497" t="s">
        <v>28</v>
      </c>
      <c r="E222" s="285" t="s">
        <v>389</v>
      </c>
      <c r="F222" s="497" t="s">
        <v>9</v>
      </c>
      <c r="G222" s="283">
        <f>G230+G233+G223+G227</f>
        <v>0</v>
      </c>
      <c r="H222" s="283">
        <f t="shared" ref="H222:R222" si="100">H230+H233+H223+H227</f>
        <v>4992.6400000000003</v>
      </c>
      <c r="I222" s="283">
        <f t="shared" si="100"/>
        <v>0</v>
      </c>
      <c r="J222" s="283">
        <f t="shared" si="100"/>
        <v>0</v>
      </c>
      <c r="K222" s="283">
        <f t="shared" si="100"/>
        <v>0</v>
      </c>
      <c r="L222" s="283">
        <f t="shared" si="100"/>
        <v>-1698.8180200000002</v>
      </c>
      <c r="M222" s="283">
        <f t="shared" si="100"/>
        <v>0</v>
      </c>
      <c r="N222" s="132">
        <f t="shared" si="100"/>
        <v>0</v>
      </c>
      <c r="O222" s="132">
        <f t="shared" si="100"/>
        <v>0</v>
      </c>
      <c r="P222" s="132">
        <f t="shared" si="100"/>
        <v>0</v>
      </c>
      <c r="Q222" s="132">
        <f t="shared" si="100"/>
        <v>0</v>
      </c>
      <c r="R222" s="132">
        <f t="shared" si="100"/>
        <v>0</v>
      </c>
      <c r="S222" s="132">
        <f t="shared" si="96"/>
        <v>3293.8219800000002</v>
      </c>
    </row>
    <row r="223" spans="1:19" s="80" customFormat="1" ht="31.5" x14ac:dyDescent="0.25">
      <c r="A223" s="267" t="s">
        <v>700</v>
      </c>
      <c r="B223" s="497" t="s">
        <v>49</v>
      </c>
      <c r="C223" s="496" t="s">
        <v>14</v>
      </c>
      <c r="D223" s="497" t="s">
        <v>28</v>
      </c>
      <c r="E223" s="285" t="s">
        <v>390</v>
      </c>
      <c r="F223" s="497" t="s">
        <v>9</v>
      </c>
      <c r="G223" s="283">
        <f>G224</f>
        <v>0</v>
      </c>
      <c r="H223" s="283">
        <f t="shared" ref="H223:R223" si="101">H224</f>
        <v>4992.6400000000003</v>
      </c>
      <c r="I223" s="283">
        <f t="shared" si="101"/>
        <v>-2551.3000000000002</v>
      </c>
      <c r="J223" s="283">
        <f t="shared" si="101"/>
        <v>0</v>
      </c>
      <c r="K223" s="283">
        <f t="shared" si="101"/>
        <v>0</v>
      </c>
      <c r="L223" s="283">
        <f t="shared" si="101"/>
        <v>-1698.8180200000002</v>
      </c>
      <c r="M223" s="283">
        <f t="shared" si="101"/>
        <v>0</v>
      </c>
      <c r="N223" s="132">
        <f t="shared" si="101"/>
        <v>0</v>
      </c>
      <c r="O223" s="132">
        <f t="shared" si="101"/>
        <v>0</v>
      </c>
      <c r="P223" s="132">
        <f t="shared" si="101"/>
        <v>0</v>
      </c>
      <c r="Q223" s="132">
        <f t="shared" si="101"/>
        <v>0</v>
      </c>
      <c r="R223" s="132">
        <f t="shared" si="101"/>
        <v>0</v>
      </c>
      <c r="S223" s="132">
        <f t="shared" si="96"/>
        <v>742.52197999999999</v>
      </c>
    </row>
    <row r="224" spans="1:19" s="80" customFormat="1" ht="31.5" x14ac:dyDescent="0.25">
      <c r="A224" s="267" t="s">
        <v>950</v>
      </c>
      <c r="B224" s="497" t="s">
        <v>49</v>
      </c>
      <c r="C224" s="496" t="s">
        <v>14</v>
      </c>
      <c r="D224" s="497" t="s">
        <v>28</v>
      </c>
      <c r="E224" s="285" t="s">
        <v>951</v>
      </c>
      <c r="F224" s="497" t="s">
        <v>9</v>
      </c>
      <c r="G224" s="283">
        <f t="shared" ref="G224:R224" si="102">G226+G225</f>
        <v>0</v>
      </c>
      <c r="H224" s="283">
        <f t="shared" si="102"/>
        <v>4992.6400000000003</v>
      </c>
      <c r="I224" s="283">
        <f t="shared" si="102"/>
        <v>-2551.3000000000002</v>
      </c>
      <c r="J224" s="283">
        <f t="shared" si="102"/>
        <v>0</v>
      </c>
      <c r="K224" s="283">
        <f t="shared" si="102"/>
        <v>0</v>
      </c>
      <c r="L224" s="283">
        <f t="shared" si="102"/>
        <v>-1698.8180200000002</v>
      </c>
      <c r="M224" s="568">
        <f t="shared" si="102"/>
        <v>0</v>
      </c>
      <c r="N224" s="568">
        <f t="shared" si="102"/>
        <v>0</v>
      </c>
      <c r="O224" s="569">
        <f t="shared" si="102"/>
        <v>0</v>
      </c>
      <c r="P224" s="569">
        <f t="shared" si="102"/>
        <v>0</v>
      </c>
      <c r="Q224" s="569">
        <f t="shared" si="102"/>
        <v>0</v>
      </c>
      <c r="R224" s="569">
        <f t="shared" si="102"/>
        <v>0</v>
      </c>
      <c r="S224" s="132">
        <f t="shared" si="96"/>
        <v>742.52197999999999</v>
      </c>
    </row>
    <row r="225" spans="1:19" s="77" customFormat="1" ht="62.45" hidden="1" x14ac:dyDescent="0.3">
      <c r="A225" s="264" t="s">
        <v>115</v>
      </c>
      <c r="B225" s="380" t="s">
        <v>49</v>
      </c>
      <c r="C225" s="488" t="s">
        <v>14</v>
      </c>
      <c r="D225" s="380" t="s">
        <v>28</v>
      </c>
      <c r="E225" s="265" t="s">
        <v>951</v>
      </c>
      <c r="F225" s="380" t="s">
        <v>113</v>
      </c>
      <c r="G225" s="282"/>
      <c r="H225" s="282"/>
      <c r="I225" s="282"/>
      <c r="J225" s="282"/>
      <c r="K225" s="282"/>
      <c r="L225" s="282"/>
      <c r="M225" s="566"/>
      <c r="N225" s="566"/>
      <c r="O225" s="131"/>
      <c r="P225" s="131"/>
      <c r="Q225" s="131"/>
      <c r="R225" s="131"/>
      <c r="S225" s="131">
        <f t="shared" si="96"/>
        <v>0</v>
      </c>
    </row>
    <row r="226" spans="1:19" s="80" customFormat="1" ht="31.5" x14ac:dyDescent="0.25">
      <c r="A226" s="264" t="s">
        <v>124</v>
      </c>
      <c r="B226" s="380" t="s">
        <v>49</v>
      </c>
      <c r="C226" s="488" t="s">
        <v>14</v>
      </c>
      <c r="D226" s="380" t="s">
        <v>28</v>
      </c>
      <c r="E226" s="265" t="s">
        <v>951</v>
      </c>
      <c r="F226" s="380" t="s">
        <v>117</v>
      </c>
      <c r="G226" s="282"/>
      <c r="H226" s="282">
        <f>1275.5+650+63+1000+834.6+535.6+730.04-85.7-10.4</f>
        <v>4992.6400000000003</v>
      </c>
      <c r="I226" s="282">
        <v>-2551.3000000000002</v>
      </c>
      <c r="J226" s="282"/>
      <c r="K226" s="282"/>
      <c r="L226" s="282">
        <f>-843.7-590.11802-200-15-50</f>
        <v>-1698.8180200000002</v>
      </c>
      <c r="M226" s="566"/>
      <c r="N226" s="566"/>
      <c r="O226" s="131"/>
      <c r="P226" s="131"/>
      <c r="Q226" s="131"/>
      <c r="R226" s="131"/>
      <c r="S226" s="566">
        <f t="shared" si="96"/>
        <v>742.52197999999999</v>
      </c>
    </row>
    <row r="227" spans="1:19" s="80" customFormat="1" x14ac:dyDescent="0.25">
      <c r="A227" s="267" t="s">
        <v>1178</v>
      </c>
      <c r="B227" s="497">
        <v>912</v>
      </c>
      <c r="C227" s="496" t="s">
        <v>14</v>
      </c>
      <c r="D227" s="497" t="s">
        <v>28</v>
      </c>
      <c r="E227" s="285" t="s">
        <v>1179</v>
      </c>
      <c r="F227" s="497" t="s">
        <v>9</v>
      </c>
      <c r="G227" s="283">
        <f>G228+G229</f>
        <v>0</v>
      </c>
      <c r="H227" s="283">
        <f t="shared" ref="H227:R227" si="103">H228+H229</f>
        <v>0</v>
      </c>
      <c r="I227" s="283">
        <f t="shared" si="103"/>
        <v>2551.2999999999997</v>
      </c>
      <c r="J227" s="283">
        <f t="shared" si="103"/>
        <v>0</v>
      </c>
      <c r="K227" s="283">
        <f t="shared" si="103"/>
        <v>0</v>
      </c>
      <c r="L227" s="283">
        <f t="shared" si="103"/>
        <v>0</v>
      </c>
      <c r="M227" s="568">
        <f t="shared" si="103"/>
        <v>0</v>
      </c>
      <c r="N227" s="568">
        <f t="shared" si="103"/>
        <v>0</v>
      </c>
      <c r="O227" s="132">
        <f t="shared" si="103"/>
        <v>0</v>
      </c>
      <c r="P227" s="132">
        <f t="shared" si="103"/>
        <v>0</v>
      </c>
      <c r="Q227" s="132">
        <f t="shared" si="103"/>
        <v>0</v>
      </c>
      <c r="R227" s="132">
        <f t="shared" si="103"/>
        <v>0</v>
      </c>
      <c r="S227" s="132">
        <f t="shared" si="96"/>
        <v>2551.2999999999997</v>
      </c>
    </row>
    <row r="228" spans="1:19" s="80" customFormat="1" ht="63" x14ac:dyDescent="0.25">
      <c r="A228" s="264" t="s">
        <v>115</v>
      </c>
      <c r="B228" s="380" t="s">
        <v>49</v>
      </c>
      <c r="C228" s="488" t="s">
        <v>14</v>
      </c>
      <c r="D228" s="380" t="s">
        <v>28</v>
      </c>
      <c r="E228" s="265" t="s">
        <v>1179</v>
      </c>
      <c r="F228" s="380" t="s">
        <v>113</v>
      </c>
      <c r="G228" s="282"/>
      <c r="H228" s="282"/>
      <c r="I228" s="282">
        <v>2135.6999999999998</v>
      </c>
      <c r="J228" s="282"/>
      <c r="K228" s="282"/>
      <c r="L228" s="282"/>
      <c r="M228" s="566"/>
      <c r="N228" s="566"/>
      <c r="O228" s="131"/>
      <c r="P228" s="131"/>
      <c r="Q228" s="131"/>
      <c r="R228" s="131"/>
      <c r="S228" s="566">
        <f t="shared" si="96"/>
        <v>2135.6999999999998</v>
      </c>
    </row>
    <row r="229" spans="1:19" s="80" customFormat="1" ht="31.5" x14ac:dyDescent="0.25">
      <c r="A229" s="264" t="s">
        <v>124</v>
      </c>
      <c r="B229" s="380" t="s">
        <v>49</v>
      </c>
      <c r="C229" s="488" t="s">
        <v>14</v>
      </c>
      <c r="D229" s="380" t="s">
        <v>28</v>
      </c>
      <c r="E229" s="265" t="s">
        <v>1179</v>
      </c>
      <c r="F229" s="380" t="s">
        <v>117</v>
      </c>
      <c r="G229" s="282"/>
      <c r="H229" s="282"/>
      <c r="I229" s="282">
        <v>415.6</v>
      </c>
      <c r="J229" s="282"/>
      <c r="K229" s="282"/>
      <c r="L229" s="282"/>
      <c r="M229" s="566"/>
      <c r="N229" s="566"/>
      <c r="O229" s="131"/>
      <c r="P229" s="131"/>
      <c r="Q229" s="131"/>
      <c r="R229" s="131"/>
      <c r="S229" s="566">
        <f t="shared" si="96"/>
        <v>415.6</v>
      </c>
    </row>
    <row r="230" spans="1:19" s="80" customFormat="1" ht="46.9" hidden="1" x14ac:dyDescent="0.3">
      <c r="A230" s="267" t="s">
        <v>1110</v>
      </c>
      <c r="B230" s="497" t="s">
        <v>49</v>
      </c>
      <c r="C230" s="496" t="s">
        <v>14</v>
      </c>
      <c r="D230" s="497" t="s">
        <v>28</v>
      </c>
      <c r="E230" s="285" t="s">
        <v>396</v>
      </c>
      <c r="F230" s="497" t="s">
        <v>9</v>
      </c>
      <c r="G230" s="283">
        <f t="shared" ref="G230:R231" si="104">G231</f>
        <v>0</v>
      </c>
      <c r="H230" s="283">
        <f t="shared" si="104"/>
        <v>0</v>
      </c>
      <c r="I230" s="283">
        <f t="shared" si="104"/>
        <v>0</v>
      </c>
      <c r="J230" s="283">
        <f t="shared" si="104"/>
        <v>0</v>
      </c>
      <c r="K230" s="283">
        <f t="shared" si="104"/>
        <v>0</v>
      </c>
      <c r="L230" s="283">
        <f t="shared" si="104"/>
        <v>0</v>
      </c>
      <c r="M230" s="568">
        <f t="shared" si="104"/>
        <v>0</v>
      </c>
      <c r="N230" s="568">
        <f t="shared" si="104"/>
        <v>0</v>
      </c>
      <c r="O230" s="569">
        <f t="shared" si="104"/>
        <v>0</v>
      </c>
      <c r="P230" s="569">
        <f t="shared" si="104"/>
        <v>0</v>
      </c>
      <c r="Q230" s="569">
        <f t="shared" si="104"/>
        <v>0</v>
      </c>
      <c r="R230" s="569">
        <f t="shared" si="104"/>
        <v>0</v>
      </c>
      <c r="S230" s="132">
        <f t="shared" si="96"/>
        <v>0</v>
      </c>
    </row>
    <row r="231" spans="1:19" s="80" customFormat="1" ht="31.15" hidden="1" x14ac:dyDescent="0.3">
      <c r="A231" s="267" t="s">
        <v>1112</v>
      </c>
      <c r="B231" s="497" t="s">
        <v>49</v>
      </c>
      <c r="C231" s="496" t="s">
        <v>14</v>
      </c>
      <c r="D231" s="497" t="s">
        <v>28</v>
      </c>
      <c r="E231" s="285" t="s">
        <v>397</v>
      </c>
      <c r="F231" s="497" t="s">
        <v>9</v>
      </c>
      <c r="G231" s="283">
        <f t="shared" si="104"/>
        <v>0</v>
      </c>
      <c r="H231" s="283">
        <f t="shared" si="104"/>
        <v>0</v>
      </c>
      <c r="I231" s="283">
        <f t="shared" si="104"/>
        <v>0</v>
      </c>
      <c r="J231" s="283">
        <f t="shared" si="104"/>
        <v>0</v>
      </c>
      <c r="K231" s="283">
        <f t="shared" si="104"/>
        <v>0</v>
      </c>
      <c r="L231" s="283">
        <f t="shared" si="104"/>
        <v>0</v>
      </c>
      <c r="M231" s="568">
        <f t="shared" si="104"/>
        <v>0</v>
      </c>
      <c r="N231" s="568">
        <f t="shared" si="104"/>
        <v>0</v>
      </c>
      <c r="O231" s="569">
        <f t="shared" si="104"/>
        <v>0</v>
      </c>
      <c r="P231" s="569">
        <f t="shared" si="104"/>
        <v>0</v>
      </c>
      <c r="Q231" s="569">
        <f t="shared" si="104"/>
        <v>0</v>
      </c>
      <c r="R231" s="569">
        <f t="shared" si="104"/>
        <v>0</v>
      </c>
      <c r="S231" s="132">
        <f t="shared" si="96"/>
        <v>0</v>
      </c>
    </row>
    <row r="232" spans="1:19" s="77" customFormat="1" ht="15.6" hidden="1" x14ac:dyDescent="0.3">
      <c r="A232" s="264" t="s">
        <v>123</v>
      </c>
      <c r="B232" s="380" t="s">
        <v>49</v>
      </c>
      <c r="C232" s="488" t="s">
        <v>14</v>
      </c>
      <c r="D232" s="380" t="s">
        <v>28</v>
      </c>
      <c r="E232" s="265" t="s">
        <v>397</v>
      </c>
      <c r="F232" s="380" t="s">
        <v>119</v>
      </c>
      <c r="G232" s="282"/>
      <c r="H232" s="282"/>
      <c r="I232" s="265"/>
      <c r="J232" s="265"/>
      <c r="K232" s="265"/>
      <c r="L232" s="265"/>
      <c r="M232" s="570"/>
      <c r="N232" s="570"/>
      <c r="O232" s="571"/>
      <c r="P232" s="571"/>
      <c r="Q232" s="571"/>
      <c r="R232" s="571"/>
      <c r="S232" s="131">
        <f t="shared" si="96"/>
        <v>0</v>
      </c>
    </row>
    <row r="233" spans="1:19" s="80" customFormat="1" ht="18" hidden="1" x14ac:dyDescent="0.3">
      <c r="A233" s="490" t="s">
        <v>559</v>
      </c>
      <c r="B233" s="497" t="s">
        <v>49</v>
      </c>
      <c r="C233" s="496" t="s">
        <v>14</v>
      </c>
      <c r="D233" s="497" t="s">
        <v>28</v>
      </c>
      <c r="E233" s="285" t="s">
        <v>558</v>
      </c>
      <c r="F233" s="497" t="s">
        <v>9</v>
      </c>
      <c r="G233" s="283">
        <f t="shared" ref="G233:R233" si="105">G234</f>
        <v>0</v>
      </c>
      <c r="H233" s="283">
        <f t="shared" si="105"/>
        <v>0</v>
      </c>
      <c r="I233" s="283">
        <f t="shared" si="105"/>
        <v>0</v>
      </c>
      <c r="J233" s="283">
        <f t="shared" si="105"/>
        <v>0</v>
      </c>
      <c r="K233" s="283">
        <f t="shared" si="105"/>
        <v>0</v>
      </c>
      <c r="L233" s="283">
        <f t="shared" si="105"/>
        <v>0</v>
      </c>
      <c r="M233" s="568">
        <f t="shared" si="105"/>
        <v>0</v>
      </c>
      <c r="N233" s="568">
        <f t="shared" si="105"/>
        <v>0</v>
      </c>
      <c r="O233" s="569">
        <f t="shared" si="105"/>
        <v>0</v>
      </c>
      <c r="P233" s="569">
        <f t="shared" si="105"/>
        <v>0</v>
      </c>
      <c r="Q233" s="569">
        <f t="shared" si="105"/>
        <v>0</v>
      </c>
      <c r="R233" s="569">
        <f t="shared" si="105"/>
        <v>0</v>
      </c>
      <c r="S233" s="132">
        <f t="shared" si="96"/>
        <v>0</v>
      </c>
    </row>
    <row r="234" spans="1:19" s="77" customFormat="1" ht="15.6" hidden="1" x14ac:dyDescent="0.3">
      <c r="A234" s="264" t="s">
        <v>116</v>
      </c>
      <c r="B234" s="380" t="s">
        <v>49</v>
      </c>
      <c r="C234" s="488" t="s">
        <v>14</v>
      </c>
      <c r="D234" s="380" t="s">
        <v>28</v>
      </c>
      <c r="E234" s="265" t="s">
        <v>558</v>
      </c>
      <c r="F234" s="380" t="s">
        <v>114</v>
      </c>
      <c r="G234" s="282"/>
      <c r="H234" s="282"/>
      <c r="I234" s="265"/>
      <c r="J234" s="265"/>
      <c r="K234" s="265"/>
      <c r="L234" s="265"/>
      <c r="M234" s="570"/>
      <c r="N234" s="570"/>
      <c r="O234" s="571"/>
      <c r="P234" s="571"/>
      <c r="Q234" s="571"/>
      <c r="R234" s="571"/>
      <c r="S234" s="131">
        <f t="shared" si="96"/>
        <v>0</v>
      </c>
    </row>
    <row r="235" spans="1:19" s="77" customFormat="1" ht="15.6" hidden="1" x14ac:dyDescent="0.3">
      <c r="A235" s="264" t="s">
        <v>54</v>
      </c>
      <c r="B235" s="380" t="s">
        <v>49</v>
      </c>
      <c r="C235" s="488" t="s">
        <v>36</v>
      </c>
      <c r="D235" s="380" t="s">
        <v>10</v>
      </c>
      <c r="E235" s="265" t="s">
        <v>365</v>
      </c>
      <c r="F235" s="380" t="s">
        <v>9</v>
      </c>
      <c r="G235" s="282">
        <f t="shared" ref="G235:R238" si="106">G236</f>
        <v>0</v>
      </c>
      <c r="H235" s="282">
        <f t="shared" si="106"/>
        <v>0</v>
      </c>
      <c r="I235" s="282">
        <f t="shared" si="106"/>
        <v>0</v>
      </c>
      <c r="J235" s="282">
        <f t="shared" si="106"/>
        <v>0</v>
      </c>
      <c r="K235" s="282">
        <f t="shared" si="106"/>
        <v>0</v>
      </c>
      <c r="L235" s="282">
        <f t="shared" si="106"/>
        <v>0</v>
      </c>
      <c r="M235" s="566">
        <f t="shared" si="106"/>
        <v>0</v>
      </c>
      <c r="N235" s="566">
        <f t="shared" si="106"/>
        <v>0</v>
      </c>
      <c r="O235" s="567">
        <f t="shared" si="106"/>
        <v>0</v>
      </c>
      <c r="P235" s="567">
        <f t="shared" si="106"/>
        <v>0</v>
      </c>
      <c r="Q235" s="567">
        <f t="shared" si="106"/>
        <v>0</v>
      </c>
      <c r="R235" s="567">
        <f t="shared" si="106"/>
        <v>0</v>
      </c>
      <c r="S235" s="131">
        <f t="shared" si="96"/>
        <v>0</v>
      </c>
    </row>
    <row r="236" spans="1:19" s="80" customFormat="1" ht="15.6" hidden="1" x14ac:dyDescent="0.3">
      <c r="A236" s="267" t="s">
        <v>55</v>
      </c>
      <c r="B236" s="497" t="s">
        <v>49</v>
      </c>
      <c r="C236" s="496" t="s">
        <v>36</v>
      </c>
      <c r="D236" s="497" t="s">
        <v>20</v>
      </c>
      <c r="E236" s="285" t="s">
        <v>365</v>
      </c>
      <c r="F236" s="497" t="s">
        <v>9</v>
      </c>
      <c r="G236" s="283">
        <f t="shared" si="106"/>
        <v>0</v>
      </c>
      <c r="H236" s="283">
        <f t="shared" si="106"/>
        <v>0</v>
      </c>
      <c r="I236" s="283">
        <f t="shared" si="106"/>
        <v>0</v>
      </c>
      <c r="J236" s="283">
        <f t="shared" si="106"/>
        <v>0</v>
      </c>
      <c r="K236" s="283">
        <f t="shared" si="106"/>
        <v>0</v>
      </c>
      <c r="L236" s="283">
        <f t="shared" si="106"/>
        <v>0</v>
      </c>
      <c r="M236" s="568">
        <f t="shared" si="106"/>
        <v>0</v>
      </c>
      <c r="N236" s="568">
        <f t="shared" si="106"/>
        <v>0</v>
      </c>
      <c r="O236" s="569">
        <f t="shared" si="106"/>
        <v>0</v>
      </c>
      <c r="P236" s="569">
        <f t="shared" si="106"/>
        <v>0</v>
      </c>
      <c r="Q236" s="569">
        <f t="shared" si="106"/>
        <v>0</v>
      </c>
      <c r="R236" s="569">
        <f t="shared" si="106"/>
        <v>0</v>
      </c>
      <c r="S236" s="132">
        <f t="shared" si="96"/>
        <v>0</v>
      </c>
    </row>
    <row r="237" spans="1:19" s="80" customFormat="1" ht="31.15" hidden="1" x14ac:dyDescent="0.3">
      <c r="A237" s="267" t="s">
        <v>785</v>
      </c>
      <c r="B237" s="497" t="s">
        <v>49</v>
      </c>
      <c r="C237" s="496" t="s">
        <v>36</v>
      </c>
      <c r="D237" s="497" t="s">
        <v>20</v>
      </c>
      <c r="E237" s="285" t="s">
        <v>389</v>
      </c>
      <c r="F237" s="497" t="s">
        <v>9</v>
      </c>
      <c r="G237" s="283">
        <f t="shared" si="106"/>
        <v>0</v>
      </c>
      <c r="H237" s="283">
        <f t="shared" si="106"/>
        <v>0</v>
      </c>
      <c r="I237" s="283">
        <f t="shared" si="106"/>
        <v>0</v>
      </c>
      <c r="J237" s="283">
        <f t="shared" si="106"/>
        <v>0</v>
      </c>
      <c r="K237" s="283">
        <f t="shared" si="106"/>
        <v>0</v>
      </c>
      <c r="L237" s="283">
        <f t="shared" si="106"/>
        <v>0</v>
      </c>
      <c r="M237" s="568">
        <f t="shared" si="106"/>
        <v>0</v>
      </c>
      <c r="N237" s="568">
        <f t="shared" si="106"/>
        <v>0</v>
      </c>
      <c r="O237" s="569">
        <f t="shared" si="106"/>
        <v>0</v>
      </c>
      <c r="P237" s="569">
        <f t="shared" si="106"/>
        <v>0</v>
      </c>
      <c r="Q237" s="569">
        <f t="shared" si="106"/>
        <v>0</v>
      </c>
      <c r="R237" s="569">
        <f t="shared" si="106"/>
        <v>0</v>
      </c>
      <c r="S237" s="132">
        <f t="shared" si="96"/>
        <v>0</v>
      </c>
    </row>
    <row r="238" spans="1:19" s="80" customFormat="1" ht="31.15" hidden="1" x14ac:dyDescent="0.3">
      <c r="A238" s="267" t="s">
        <v>56</v>
      </c>
      <c r="B238" s="497" t="s">
        <v>49</v>
      </c>
      <c r="C238" s="496" t="s">
        <v>36</v>
      </c>
      <c r="D238" s="497" t="s">
        <v>20</v>
      </c>
      <c r="E238" s="285" t="s">
        <v>398</v>
      </c>
      <c r="F238" s="497" t="s">
        <v>9</v>
      </c>
      <c r="G238" s="283">
        <f t="shared" si="106"/>
        <v>0</v>
      </c>
      <c r="H238" s="283">
        <f t="shared" si="106"/>
        <v>0</v>
      </c>
      <c r="I238" s="283">
        <f t="shared" si="106"/>
        <v>0</v>
      </c>
      <c r="J238" s="283">
        <f t="shared" si="106"/>
        <v>0</v>
      </c>
      <c r="K238" s="283">
        <f t="shared" si="106"/>
        <v>0</v>
      </c>
      <c r="L238" s="283">
        <f t="shared" si="106"/>
        <v>0</v>
      </c>
      <c r="M238" s="568">
        <f t="shared" si="106"/>
        <v>0</v>
      </c>
      <c r="N238" s="568">
        <f t="shared" si="106"/>
        <v>0</v>
      </c>
      <c r="O238" s="569">
        <f t="shared" si="106"/>
        <v>0</v>
      </c>
      <c r="P238" s="569">
        <f t="shared" si="106"/>
        <v>0</v>
      </c>
      <c r="Q238" s="569">
        <f t="shared" si="106"/>
        <v>0</v>
      </c>
      <c r="R238" s="569">
        <f t="shared" si="106"/>
        <v>0</v>
      </c>
      <c r="S238" s="132">
        <f t="shared" si="96"/>
        <v>0</v>
      </c>
    </row>
    <row r="239" spans="1:19" s="77" customFormat="1" ht="15.6" hidden="1" x14ac:dyDescent="0.3">
      <c r="A239" s="264" t="s">
        <v>123</v>
      </c>
      <c r="B239" s="380" t="s">
        <v>49</v>
      </c>
      <c r="C239" s="488" t="s">
        <v>36</v>
      </c>
      <c r="D239" s="380" t="s">
        <v>20</v>
      </c>
      <c r="E239" s="265" t="s">
        <v>398</v>
      </c>
      <c r="F239" s="380" t="s">
        <v>119</v>
      </c>
      <c r="G239" s="282"/>
      <c r="H239" s="282"/>
      <c r="I239" s="265"/>
      <c r="J239" s="265"/>
      <c r="K239" s="265"/>
      <c r="L239" s="265"/>
      <c r="M239" s="570"/>
      <c r="N239" s="570"/>
      <c r="O239" s="571"/>
      <c r="P239" s="571"/>
      <c r="Q239" s="571"/>
      <c r="R239" s="571"/>
      <c r="S239" s="131">
        <f t="shared" si="96"/>
        <v>0</v>
      </c>
    </row>
    <row r="240" spans="1:19" s="77" customFormat="1" ht="17.45" hidden="1" x14ac:dyDescent="0.3">
      <c r="A240" s="491" t="s">
        <v>351</v>
      </c>
      <c r="B240" s="380" t="s">
        <v>49</v>
      </c>
      <c r="C240" s="488" t="s">
        <v>58</v>
      </c>
      <c r="D240" s="380" t="s">
        <v>10</v>
      </c>
      <c r="E240" s="265" t="s">
        <v>365</v>
      </c>
      <c r="F240" s="380" t="s">
        <v>9</v>
      </c>
      <c r="G240" s="282">
        <f t="shared" ref="G240:R240" si="107">G241+G245+G249</f>
        <v>0</v>
      </c>
      <c r="H240" s="282">
        <f t="shared" si="107"/>
        <v>0</v>
      </c>
      <c r="I240" s="282">
        <f t="shared" si="107"/>
        <v>0</v>
      </c>
      <c r="J240" s="282">
        <f t="shared" si="107"/>
        <v>0</v>
      </c>
      <c r="K240" s="282">
        <f t="shared" si="107"/>
        <v>0</v>
      </c>
      <c r="L240" s="282">
        <f t="shared" si="107"/>
        <v>0</v>
      </c>
      <c r="M240" s="566">
        <f t="shared" si="107"/>
        <v>0</v>
      </c>
      <c r="N240" s="566">
        <f t="shared" si="107"/>
        <v>0</v>
      </c>
      <c r="O240" s="567">
        <f t="shared" si="107"/>
        <v>0</v>
      </c>
      <c r="P240" s="567">
        <f t="shared" si="107"/>
        <v>0</v>
      </c>
      <c r="Q240" s="567">
        <f t="shared" si="107"/>
        <v>0</v>
      </c>
      <c r="R240" s="567">
        <f t="shared" si="107"/>
        <v>0</v>
      </c>
      <c r="S240" s="131">
        <f t="shared" si="96"/>
        <v>0</v>
      </c>
    </row>
    <row r="241" spans="1:19" s="80" customFormat="1" ht="15.6" hidden="1" x14ac:dyDescent="0.3">
      <c r="A241" s="267" t="s">
        <v>582</v>
      </c>
      <c r="B241" s="497" t="s">
        <v>49</v>
      </c>
      <c r="C241" s="496" t="s">
        <v>58</v>
      </c>
      <c r="D241" s="497" t="s">
        <v>14</v>
      </c>
      <c r="E241" s="285" t="s">
        <v>365</v>
      </c>
      <c r="F241" s="497" t="s">
        <v>9</v>
      </c>
      <c r="G241" s="283">
        <f t="shared" ref="G241:R243" si="108">G242</f>
        <v>0</v>
      </c>
      <c r="H241" s="283">
        <f t="shared" si="108"/>
        <v>0</v>
      </c>
      <c r="I241" s="283">
        <f t="shared" si="108"/>
        <v>0</v>
      </c>
      <c r="J241" s="283">
        <f t="shared" si="108"/>
        <v>0</v>
      </c>
      <c r="K241" s="283">
        <f t="shared" si="108"/>
        <v>0</v>
      </c>
      <c r="L241" s="283">
        <f t="shared" si="108"/>
        <v>0</v>
      </c>
      <c r="M241" s="568">
        <f t="shared" si="108"/>
        <v>0</v>
      </c>
      <c r="N241" s="568">
        <f t="shared" si="108"/>
        <v>0</v>
      </c>
      <c r="O241" s="569">
        <f t="shared" si="108"/>
        <v>0</v>
      </c>
      <c r="P241" s="569">
        <f t="shared" si="108"/>
        <v>0</v>
      </c>
      <c r="Q241" s="569">
        <f t="shared" si="108"/>
        <v>0</v>
      </c>
      <c r="R241" s="569">
        <f t="shared" si="108"/>
        <v>0</v>
      </c>
      <c r="S241" s="132">
        <f t="shared" si="96"/>
        <v>0</v>
      </c>
    </row>
    <row r="242" spans="1:19" s="80" customFormat="1" ht="31.15" hidden="1" x14ac:dyDescent="0.3">
      <c r="A242" s="267" t="s">
        <v>785</v>
      </c>
      <c r="B242" s="497" t="s">
        <v>49</v>
      </c>
      <c r="C242" s="496" t="s">
        <v>58</v>
      </c>
      <c r="D242" s="497" t="s">
        <v>14</v>
      </c>
      <c r="E242" s="285" t="s">
        <v>389</v>
      </c>
      <c r="F242" s="497" t="s">
        <v>9</v>
      </c>
      <c r="G242" s="283">
        <f t="shared" si="108"/>
        <v>0</v>
      </c>
      <c r="H242" s="283">
        <f t="shared" si="108"/>
        <v>0</v>
      </c>
      <c r="I242" s="283">
        <f t="shared" si="108"/>
        <v>0</v>
      </c>
      <c r="J242" s="283">
        <f t="shared" si="108"/>
        <v>0</v>
      </c>
      <c r="K242" s="283">
        <f t="shared" si="108"/>
        <v>0</v>
      </c>
      <c r="L242" s="283">
        <f t="shared" si="108"/>
        <v>0</v>
      </c>
      <c r="M242" s="568">
        <f t="shared" si="108"/>
        <v>0</v>
      </c>
      <c r="N242" s="568">
        <f t="shared" si="108"/>
        <v>0</v>
      </c>
      <c r="O242" s="569">
        <f t="shared" si="108"/>
        <v>0</v>
      </c>
      <c r="P242" s="569">
        <f t="shared" si="108"/>
        <v>0</v>
      </c>
      <c r="Q242" s="569">
        <f t="shared" si="108"/>
        <v>0</v>
      </c>
      <c r="R242" s="569">
        <f t="shared" si="108"/>
        <v>0</v>
      </c>
      <c r="S242" s="132">
        <f t="shared" si="96"/>
        <v>0</v>
      </c>
    </row>
    <row r="243" spans="1:19" s="80" customFormat="1" ht="62.45" hidden="1" x14ac:dyDescent="0.3">
      <c r="A243" s="267" t="s">
        <v>581</v>
      </c>
      <c r="B243" s="497" t="s">
        <v>49</v>
      </c>
      <c r="C243" s="496" t="s">
        <v>58</v>
      </c>
      <c r="D243" s="497" t="s">
        <v>14</v>
      </c>
      <c r="E243" s="285" t="s">
        <v>580</v>
      </c>
      <c r="F243" s="497" t="s">
        <v>9</v>
      </c>
      <c r="G243" s="283">
        <f t="shared" si="108"/>
        <v>0</v>
      </c>
      <c r="H243" s="283">
        <f t="shared" si="108"/>
        <v>0</v>
      </c>
      <c r="I243" s="283">
        <f t="shared" si="108"/>
        <v>0</v>
      </c>
      <c r="J243" s="283">
        <f t="shared" si="108"/>
        <v>0</v>
      </c>
      <c r="K243" s="283">
        <f t="shared" si="108"/>
        <v>0</v>
      </c>
      <c r="L243" s="283">
        <f t="shared" si="108"/>
        <v>0</v>
      </c>
      <c r="M243" s="568">
        <f t="shared" si="108"/>
        <v>0</v>
      </c>
      <c r="N243" s="568">
        <f t="shared" si="108"/>
        <v>0</v>
      </c>
      <c r="O243" s="569">
        <f t="shared" si="108"/>
        <v>0</v>
      </c>
      <c r="P243" s="569">
        <f t="shared" si="108"/>
        <v>0</v>
      </c>
      <c r="Q243" s="569">
        <f t="shared" si="108"/>
        <v>0</v>
      </c>
      <c r="R243" s="569">
        <f t="shared" si="108"/>
        <v>0</v>
      </c>
      <c r="S243" s="132">
        <f t="shared" si="96"/>
        <v>0</v>
      </c>
    </row>
    <row r="244" spans="1:19" s="77" customFormat="1" ht="15.6" hidden="1" x14ac:dyDescent="0.3">
      <c r="A244" s="264" t="s">
        <v>123</v>
      </c>
      <c r="B244" s="380" t="s">
        <v>49</v>
      </c>
      <c r="C244" s="488" t="s">
        <v>58</v>
      </c>
      <c r="D244" s="380" t="s">
        <v>14</v>
      </c>
      <c r="E244" s="265" t="s">
        <v>580</v>
      </c>
      <c r="F244" s="380" t="s">
        <v>119</v>
      </c>
      <c r="G244" s="282"/>
      <c r="H244" s="282"/>
      <c r="I244" s="265"/>
      <c r="J244" s="265"/>
      <c r="K244" s="265"/>
      <c r="L244" s="265"/>
      <c r="M244" s="570"/>
      <c r="N244" s="570"/>
      <c r="O244" s="571"/>
      <c r="P244" s="571"/>
      <c r="Q244" s="571"/>
      <c r="R244" s="571"/>
      <c r="S244" s="131">
        <f t="shared" si="96"/>
        <v>0</v>
      </c>
    </row>
    <row r="245" spans="1:19" s="80" customFormat="1" ht="15.6" hidden="1" x14ac:dyDescent="0.3">
      <c r="A245" s="267" t="s">
        <v>649</v>
      </c>
      <c r="B245" s="497" t="s">
        <v>49</v>
      </c>
      <c r="C245" s="496" t="s">
        <v>58</v>
      </c>
      <c r="D245" s="497" t="s">
        <v>20</v>
      </c>
      <c r="E245" s="285" t="s">
        <v>365</v>
      </c>
      <c r="F245" s="497" t="s">
        <v>9</v>
      </c>
      <c r="G245" s="283">
        <f t="shared" ref="G245:R247" si="109">G246</f>
        <v>0</v>
      </c>
      <c r="H245" s="283">
        <f t="shared" si="109"/>
        <v>0</v>
      </c>
      <c r="I245" s="283">
        <f t="shared" si="109"/>
        <v>0</v>
      </c>
      <c r="J245" s="283">
        <f t="shared" si="109"/>
        <v>0</v>
      </c>
      <c r="K245" s="283">
        <f t="shared" si="109"/>
        <v>0</v>
      </c>
      <c r="L245" s="283">
        <f t="shared" si="109"/>
        <v>0</v>
      </c>
      <c r="M245" s="568">
        <f t="shared" si="109"/>
        <v>0</v>
      </c>
      <c r="N245" s="568">
        <f t="shared" si="109"/>
        <v>0</v>
      </c>
      <c r="O245" s="569">
        <f t="shared" si="109"/>
        <v>0</v>
      </c>
      <c r="P245" s="569">
        <f t="shared" si="109"/>
        <v>0</v>
      </c>
      <c r="Q245" s="569">
        <f t="shared" si="109"/>
        <v>0</v>
      </c>
      <c r="R245" s="569">
        <f t="shared" si="109"/>
        <v>0</v>
      </c>
      <c r="S245" s="132">
        <f t="shared" si="96"/>
        <v>0</v>
      </c>
    </row>
    <row r="246" spans="1:19" s="80" customFormat="1" ht="31.15" hidden="1" x14ac:dyDescent="0.3">
      <c r="A246" s="267" t="s">
        <v>785</v>
      </c>
      <c r="B246" s="497" t="s">
        <v>49</v>
      </c>
      <c r="C246" s="496" t="s">
        <v>58</v>
      </c>
      <c r="D246" s="497" t="s">
        <v>20</v>
      </c>
      <c r="E246" s="285" t="s">
        <v>389</v>
      </c>
      <c r="F246" s="497" t="s">
        <v>9</v>
      </c>
      <c r="G246" s="283">
        <f t="shared" si="109"/>
        <v>0</v>
      </c>
      <c r="H246" s="283">
        <f t="shared" si="109"/>
        <v>0</v>
      </c>
      <c r="I246" s="283">
        <f t="shared" si="109"/>
        <v>0</v>
      </c>
      <c r="J246" s="283">
        <f t="shared" si="109"/>
        <v>0</v>
      </c>
      <c r="K246" s="283">
        <f t="shared" si="109"/>
        <v>0</v>
      </c>
      <c r="L246" s="283">
        <f t="shared" si="109"/>
        <v>0</v>
      </c>
      <c r="M246" s="568">
        <f t="shared" si="109"/>
        <v>0</v>
      </c>
      <c r="N246" s="568">
        <f t="shared" si="109"/>
        <v>0</v>
      </c>
      <c r="O246" s="569">
        <f t="shared" si="109"/>
        <v>0</v>
      </c>
      <c r="P246" s="569">
        <f t="shared" si="109"/>
        <v>0</v>
      </c>
      <c r="Q246" s="569">
        <f t="shared" si="109"/>
        <v>0</v>
      </c>
      <c r="R246" s="569">
        <f t="shared" si="109"/>
        <v>0</v>
      </c>
      <c r="S246" s="132">
        <f t="shared" si="96"/>
        <v>0</v>
      </c>
    </row>
    <row r="247" spans="1:19" s="80" customFormat="1" ht="15.6" hidden="1" x14ac:dyDescent="0.3">
      <c r="A247" s="267" t="s">
        <v>648</v>
      </c>
      <c r="B247" s="497" t="s">
        <v>49</v>
      </c>
      <c r="C247" s="496" t="s">
        <v>58</v>
      </c>
      <c r="D247" s="497" t="s">
        <v>20</v>
      </c>
      <c r="E247" s="285" t="s">
        <v>647</v>
      </c>
      <c r="F247" s="497" t="s">
        <v>9</v>
      </c>
      <c r="G247" s="283">
        <f t="shared" si="109"/>
        <v>0</v>
      </c>
      <c r="H247" s="283">
        <f t="shared" si="109"/>
        <v>0</v>
      </c>
      <c r="I247" s="283">
        <f t="shared" si="109"/>
        <v>0</v>
      </c>
      <c r="J247" s="283">
        <f t="shared" si="109"/>
        <v>0</v>
      </c>
      <c r="K247" s="283">
        <f t="shared" si="109"/>
        <v>0</v>
      </c>
      <c r="L247" s="283">
        <f t="shared" si="109"/>
        <v>0</v>
      </c>
      <c r="M247" s="568">
        <f t="shared" si="109"/>
        <v>0</v>
      </c>
      <c r="N247" s="568">
        <f t="shared" si="109"/>
        <v>0</v>
      </c>
      <c r="O247" s="569">
        <f t="shared" si="109"/>
        <v>0</v>
      </c>
      <c r="P247" s="569">
        <f t="shared" si="109"/>
        <v>0</v>
      </c>
      <c r="Q247" s="569">
        <f t="shared" si="109"/>
        <v>0</v>
      </c>
      <c r="R247" s="569">
        <f t="shared" si="109"/>
        <v>0</v>
      </c>
      <c r="S247" s="132">
        <f t="shared" si="96"/>
        <v>0</v>
      </c>
    </row>
    <row r="248" spans="1:19" s="77" customFormat="1" ht="15.6" hidden="1" x14ac:dyDescent="0.3">
      <c r="A248" s="264" t="s">
        <v>123</v>
      </c>
      <c r="B248" s="380" t="s">
        <v>49</v>
      </c>
      <c r="C248" s="488" t="s">
        <v>58</v>
      </c>
      <c r="D248" s="380" t="s">
        <v>20</v>
      </c>
      <c r="E248" s="265" t="s">
        <v>647</v>
      </c>
      <c r="F248" s="380" t="s">
        <v>119</v>
      </c>
      <c r="G248" s="282"/>
      <c r="H248" s="282"/>
      <c r="I248" s="265"/>
      <c r="J248" s="265"/>
      <c r="K248" s="265"/>
      <c r="L248" s="265"/>
      <c r="M248" s="570"/>
      <c r="N248" s="570"/>
      <c r="O248" s="571"/>
      <c r="P248" s="571"/>
      <c r="Q248" s="571"/>
      <c r="R248" s="571"/>
      <c r="S248" s="131">
        <f t="shared" si="96"/>
        <v>0</v>
      </c>
    </row>
    <row r="249" spans="1:19" s="80" customFormat="1" ht="15.6" hidden="1" x14ac:dyDescent="0.3">
      <c r="A249" s="267" t="s">
        <v>651</v>
      </c>
      <c r="B249" s="497" t="s">
        <v>49</v>
      </c>
      <c r="C249" s="496" t="s">
        <v>58</v>
      </c>
      <c r="D249" s="497" t="s">
        <v>58</v>
      </c>
      <c r="E249" s="285" t="s">
        <v>365</v>
      </c>
      <c r="F249" s="497" t="s">
        <v>9</v>
      </c>
      <c r="G249" s="283">
        <f t="shared" ref="G249:R251" si="110">G250</f>
        <v>0</v>
      </c>
      <c r="H249" s="283">
        <f t="shared" si="110"/>
        <v>0</v>
      </c>
      <c r="I249" s="283">
        <f t="shared" si="110"/>
        <v>0</v>
      </c>
      <c r="J249" s="283">
        <f t="shared" si="110"/>
        <v>0</v>
      </c>
      <c r="K249" s="283">
        <f t="shared" si="110"/>
        <v>0</v>
      </c>
      <c r="L249" s="283">
        <f t="shared" si="110"/>
        <v>0</v>
      </c>
      <c r="M249" s="568">
        <f t="shared" si="110"/>
        <v>0</v>
      </c>
      <c r="N249" s="568">
        <f t="shared" si="110"/>
        <v>0</v>
      </c>
      <c r="O249" s="569">
        <f t="shared" si="110"/>
        <v>0</v>
      </c>
      <c r="P249" s="569">
        <f t="shared" si="110"/>
        <v>0</v>
      </c>
      <c r="Q249" s="569">
        <f t="shared" si="110"/>
        <v>0</v>
      </c>
      <c r="R249" s="569">
        <f t="shared" si="110"/>
        <v>0</v>
      </c>
      <c r="S249" s="132">
        <f t="shared" si="96"/>
        <v>0</v>
      </c>
    </row>
    <row r="250" spans="1:19" s="80" customFormat="1" ht="31.15" hidden="1" x14ac:dyDescent="0.3">
      <c r="A250" s="267" t="s">
        <v>785</v>
      </c>
      <c r="B250" s="497" t="s">
        <v>49</v>
      </c>
      <c r="C250" s="496" t="s">
        <v>58</v>
      </c>
      <c r="D250" s="497" t="s">
        <v>58</v>
      </c>
      <c r="E250" s="285" t="s">
        <v>389</v>
      </c>
      <c r="F250" s="497" t="s">
        <v>9</v>
      </c>
      <c r="G250" s="283">
        <f t="shared" si="110"/>
        <v>0</v>
      </c>
      <c r="H250" s="283">
        <f t="shared" si="110"/>
        <v>0</v>
      </c>
      <c r="I250" s="283">
        <f t="shared" si="110"/>
        <v>0</v>
      </c>
      <c r="J250" s="283">
        <f t="shared" si="110"/>
        <v>0</v>
      </c>
      <c r="K250" s="283">
        <f t="shared" si="110"/>
        <v>0</v>
      </c>
      <c r="L250" s="283">
        <f t="shared" si="110"/>
        <v>0</v>
      </c>
      <c r="M250" s="568">
        <f t="shared" si="110"/>
        <v>0</v>
      </c>
      <c r="N250" s="568">
        <f t="shared" si="110"/>
        <v>0</v>
      </c>
      <c r="O250" s="569">
        <f t="shared" si="110"/>
        <v>0</v>
      </c>
      <c r="P250" s="569">
        <f t="shared" si="110"/>
        <v>0</v>
      </c>
      <c r="Q250" s="569">
        <f t="shared" si="110"/>
        <v>0</v>
      </c>
      <c r="R250" s="569">
        <f t="shared" si="110"/>
        <v>0</v>
      </c>
      <c r="S250" s="132">
        <f t="shared" si="96"/>
        <v>0</v>
      </c>
    </row>
    <row r="251" spans="1:19" s="80" customFormat="1" ht="15.6" hidden="1" x14ac:dyDescent="0.3">
      <c r="A251" s="267" t="s">
        <v>676</v>
      </c>
      <c r="B251" s="497" t="s">
        <v>49</v>
      </c>
      <c r="C251" s="496" t="s">
        <v>58</v>
      </c>
      <c r="D251" s="497" t="s">
        <v>58</v>
      </c>
      <c r="E251" s="285" t="s">
        <v>650</v>
      </c>
      <c r="F251" s="497" t="s">
        <v>9</v>
      </c>
      <c r="G251" s="283">
        <f t="shared" si="110"/>
        <v>0</v>
      </c>
      <c r="H251" s="283">
        <f t="shared" si="110"/>
        <v>0</v>
      </c>
      <c r="I251" s="283">
        <f t="shared" si="110"/>
        <v>0</v>
      </c>
      <c r="J251" s="283">
        <f t="shared" si="110"/>
        <v>0</v>
      </c>
      <c r="K251" s="283">
        <f t="shared" si="110"/>
        <v>0</v>
      </c>
      <c r="L251" s="283">
        <f t="shared" si="110"/>
        <v>0</v>
      </c>
      <c r="M251" s="568">
        <f t="shared" si="110"/>
        <v>0</v>
      </c>
      <c r="N251" s="568">
        <f t="shared" si="110"/>
        <v>0</v>
      </c>
      <c r="O251" s="569">
        <f t="shared" si="110"/>
        <v>0</v>
      </c>
      <c r="P251" s="569">
        <f t="shared" si="110"/>
        <v>0</v>
      </c>
      <c r="Q251" s="569">
        <f t="shared" si="110"/>
        <v>0</v>
      </c>
      <c r="R251" s="569">
        <f t="shared" si="110"/>
        <v>0</v>
      </c>
      <c r="S251" s="132">
        <f t="shared" si="96"/>
        <v>0</v>
      </c>
    </row>
    <row r="252" spans="1:19" s="77" customFormat="1" ht="15.6" hidden="1" x14ac:dyDescent="0.3">
      <c r="A252" s="264" t="s">
        <v>123</v>
      </c>
      <c r="B252" s="380" t="s">
        <v>49</v>
      </c>
      <c r="C252" s="488" t="s">
        <v>58</v>
      </c>
      <c r="D252" s="380" t="s">
        <v>58</v>
      </c>
      <c r="E252" s="265" t="s">
        <v>650</v>
      </c>
      <c r="F252" s="380" t="s">
        <v>119</v>
      </c>
      <c r="G252" s="282"/>
      <c r="H252" s="282"/>
      <c r="I252" s="265"/>
      <c r="J252" s="265"/>
      <c r="K252" s="265"/>
      <c r="L252" s="265"/>
      <c r="M252" s="570"/>
      <c r="N252" s="570"/>
      <c r="O252" s="571"/>
      <c r="P252" s="571"/>
      <c r="Q252" s="571"/>
      <c r="R252" s="571"/>
      <c r="S252" s="131">
        <f t="shared" si="96"/>
        <v>0</v>
      </c>
    </row>
    <row r="253" spans="1:19" s="77" customFormat="1" ht="15.6" hidden="1" x14ac:dyDescent="0.3">
      <c r="A253" s="264" t="s">
        <v>11</v>
      </c>
      <c r="B253" s="380" t="s">
        <v>49</v>
      </c>
      <c r="C253" s="488" t="s">
        <v>12</v>
      </c>
      <c r="D253" s="380" t="s">
        <v>10</v>
      </c>
      <c r="E253" s="265" t="s">
        <v>365</v>
      </c>
      <c r="F253" s="380" t="s">
        <v>9</v>
      </c>
      <c r="G253" s="282">
        <f t="shared" ref="G253:R257" si="111">G254</f>
        <v>0</v>
      </c>
      <c r="H253" s="282">
        <f t="shared" si="111"/>
        <v>0</v>
      </c>
      <c r="I253" s="282">
        <f t="shared" si="111"/>
        <v>0</v>
      </c>
      <c r="J253" s="282">
        <f t="shared" si="111"/>
        <v>0</v>
      </c>
      <c r="K253" s="282">
        <f t="shared" si="111"/>
        <v>0</v>
      </c>
      <c r="L253" s="282">
        <f t="shared" si="111"/>
        <v>0</v>
      </c>
      <c r="M253" s="566">
        <f t="shared" si="111"/>
        <v>0</v>
      </c>
      <c r="N253" s="566">
        <f t="shared" si="111"/>
        <v>0</v>
      </c>
      <c r="O253" s="567">
        <f t="shared" si="111"/>
        <v>0</v>
      </c>
      <c r="P253" s="567">
        <f t="shared" si="111"/>
        <v>0</v>
      </c>
      <c r="Q253" s="567">
        <f t="shared" si="111"/>
        <v>0</v>
      </c>
      <c r="R253" s="567">
        <f t="shared" si="111"/>
        <v>0</v>
      </c>
      <c r="S253" s="131">
        <f t="shared" si="96"/>
        <v>0</v>
      </c>
    </row>
    <row r="254" spans="1:19" s="80" customFormat="1" ht="15.6" hidden="1" x14ac:dyDescent="0.3">
      <c r="A254" s="267" t="s">
        <v>13</v>
      </c>
      <c r="B254" s="497" t="s">
        <v>49</v>
      </c>
      <c r="C254" s="496" t="s">
        <v>12</v>
      </c>
      <c r="D254" s="497" t="s">
        <v>14</v>
      </c>
      <c r="E254" s="285" t="s">
        <v>365</v>
      </c>
      <c r="F254" s="497" t="s">
        <v>9</v>
      </c>
      <c r="G254" s="283">
        <f t="shared" si="111"/>
        <v>0</v>
      </c>
      <c r="H254" s="283">
        <f t="shared" si="111"/>
        <v>0</v>
      </c>
      <c r="I254" s="283">
        <f t="shared" si="111"/>
        <v>0</v>
      </c>
      <c r="J254" s="283">
        <f t="shared" si="111"/>
        <v>0</v>
      </c>
      <c r="K254" s="283">
        <f t="shared" si="111"/>
        <v>0</v>
      </c>
      <c r="L254" s="283">
        <f t="shared" si="111"/>
        <v>0</v>
      </c>
      <c r="M254" s="568">
        <f t="shared" si="111"/>
        <v>0</v>
      </c>
      <c r="N254" s="568">
        <f t="shared" si="111"/>
        <v>0</v>
      </c>
      <c r="O254" s="569">
        <f t="shared" si="111"/>
        <v>0</v>
      </c>
      <c r="P254" s="569">
        <f t="shared" si="111"/>
        <v>0</v>
      </c>
      <c r="Q254" s="569">
        <f t="shared" si="111"/>
        <v>0</v>
      </c>
      <c r="R254" s="569">
        <f t="shared" si="111"/>
        <v>0</v>
      </c>
      <c r="S254" s="132">
        <f t="shared" si="96"/>
        <v>0</v>
      </c>
    </row>
    <row r="255" spans="1:19" s="80" customFormat="1" ht="31.15" hidden="1" x14ac:dyDescent="0.3">
      <c r="A255" s="267" t="s">
        <v>785</v>
      </c>
      <c r="B255" s="497" t="s">
        <v>49</v>
      </c>
      <c r="C255" s="496" t="s">
        <v>12</v>
      </c>
      <c r="D255" s="497" t="s">
        <v>14</v>
      </c>
      <c r="E255" s="285" t="s">
        <v>389</v>
      </c>
      <c r="F255" s="497" t="s">
        <v>9</v>
      </c>
      <c r="G255" s="283">
        <f t="shared" si="111"/>
        <v>0</v>
      </c>
      <c r="H255" s="283">
        <f t="shared" si="111"/>
        <v>0</v>
      </c>
      <c r="I255" s="283">
        <f t="shared" si="111"/>
        <v>0</v>
      </c>
      <c r="J255" s="283">
        <f t="shared" si="111"/>
        <v>0</v>
      </c>
      <c r="K255" s="283">
        <f t="shared" si="111"/>
        <v>0</v>
      </c>
      <c r="L255" s="283">
        <f t="shared" si="111"/>
        <v>0</v>
      </c>
      <c r="M255" s="568">
        <f t="shared" si="111"/>
        <v>0</v>
      </c>
      <c r="N255" s="568">
        <f t="shared" si="111"/>
        <v>0</v>
      </c>
      <c r="O255" s="569">
        <f t="shared" si="111"/>
        <v>0</v>
      </c>
      <c r="P255" s="569">
        <f t="shared" si="111"/>
        <v>0</v>
      </c>
      <c r="Q255" s="569">
        <f t="shared" si="111"/>
        <v>0</v>
      </c>
      <c r="R255" s="569">
        <f t="shared" si="111"/>
        <v>0</v>
      </c>
      <c r="S255" s="132">
        <f t="shared" si="96"/>
        <v>0</v>
      </c>
    </row>
    <row r="256" spans="1:19" s="80" customFormat="1" ht="46.9" hidden="1" x14ac:dyDescent="0.3">
      <c r="A256" s="267" t="s">
        <v>41</v>
      </c>
      <c r="B256" s="497" t="s">
        <v>49</v>
      </c>
      <c r="C256" s="496" t="s">
        <v>12</v>
      </c>
      <c r="D256" s="497" t="s">
        <v>14</v>
      </c>
      <c r="E256" s="285" t="s">
        <v>399</v>
      </c>
      <c r="F256" s="497" t="s">
        <v>9</v>
      </c>
      <c r="G256" s="283">
        <f t="shared" si="111"/>
        <v>0</v>
      </c>
      <c r="H256" s="283">
        <f t="shared" si="111"/>
        <v>0</v>
      </c>
      <c r="I256" s="283">
        <f t="shared" si="111"/>
        <v>0</v>
      </c>
      <c r="J256" s="283">
        <f t="shared" si="111"/>
        <v>0</v>
      </c>
      <c r="K256" s="283">
        <f t="shared" si="111"/>
        <v>0</v>
      </c>
      <c r="L256" s="283">
        <f t="shared" si="111"/>
        <v>0</v>
      </c>
      <c r="M256" s="568">
        <f t="shared" si="111"/>
        <v>0</v>
      </c>
      <c r="N256" s="568">
        <f t="shared" si="111"/>
        <v>0</v>
      </c>
      <c r="O256" s="569">
        <f t="shared" si="111"/>
        <v>0</v>
      </c>
      <c r="P256" s="569">
        <f t="shared" si="111"/>
        <v>0</v>
      </c>
      <c r="Q256" s="569">
        <f t="shared" si="111"/>
        <v>0</v>
      </c>
      <c r="R256" s="569">
        <f t="shared" si="111"/>
        <v>0</v>
      </c>
      <c r="S256" s="132">
        <f t="shared" si="96"/>
        <v>0</v>
      </c>
    </row>
    <row r="257" spans="1:225" s="80" customFormat="1" ht="31.15" hidden="1" x14ac:dyDescent="0.3">
      <c r="A257" s="267" t="s">
        <v>703</v>
      </c>
      <c r="B257" s="497" t="s">
        <v>49</v>
      </c>
      <c r="C257" s="496" t="s">
        <v>12</v>
      </c>
      <c r="D257" s="497" t="s">
        <v>14</v>
      </c>
      <c r="E257" s="285" t="s">
        <v>702</v>
      </c>
      <c r="F257" s="497" t="s">
        <v>9</v>
      </c>
      <c r="G257" s="283">
        <f t="shared" si="111"/>
        <v>0</v>
      </c>
      <c r="H257" s="283">
        <f t="shared" si="111"/>
        <v>0</v>
      </c>
      <c r="I257" s="283">
        <f t="shared" si="111"/>
        <v>0</v>
      </c>
      <c r="J257" s="283">
        <f t="shared" si="111"/>
        <v>0</v>
      </c>
      <c r="K257" s="283">
        <f t="shared" si="111"/>
        <v>0</v>
      </c>
      <c r="L257" s="283">
        <f t="shared" si="111"/>
        <v>0</v>
      </c>
      <c r="M257" s="568">
        <f t="shared" si="111"/>
        <v>0</v>
      </c>
      <c r="N257" s="568">
        <f t="shared" si="111"/>
        <v>0</v>
      </c>
      <c r="O257" s="569">
        <f t="shared" si="111"/>
        <v>0</v>
      </c>
      <c r="P257" s="569">
        <f t="shared" si="111"/>
        <v>0</v>
      </c>
      <c r="Q257" s="569">
        <f t="shared" si="111"/>
        <v>0</v>
      </c>
      <c r="R257" s="569">
        <f t="shared" si="111"/>
        <v>0</v>
      </c>
      <c r="S257" s="132">
        <f t="shared" si="96"/>
        <v>0</v>
      </c>
    </row>
    <row r="258" spans="1:225" s="77" customFormat="1" ht="15.6" hidden="1" x14ac:dyDescent="0.3">
      <c r="A258" s="264" t="s">
        <v>123</v>
      </c>
      <c r="B258" s="380" t="s">
        <v>49</v>
      </c>
      <c r="C258" s="488" t="s">
        <v>12</v>
      </c>
      <c r="D258" s="380" t="s">
        <v>14</v>
      </c>
      <c r="E258" s="265" t="s">
        <v>702</v>
      </c>
      <c r="F258" s="380" t="s">
        <v>119</v>
      </c>
      <c r="G258" s="282"/>
      <c r="H258" s="282"/>
      <c r="I258" s="265"/>
      <c r="J258" s="265"/>
      <c r="K258" s="265"/>
      <c r="L258" s="265"/>
      <c r="M258" s="570"/>
      <c r="N258" s="570"/>
      <c r="O258" s="571"/>
      <c r="P258" s="571"/>
      <c r="Q258" s="571"/>
      <c r="R258" s="571"/>
      <c r="S258" s="131">
        <f t="shared" si="96"/>
        <v>0</v>
      </c>
    </row>
    <row r="259" spans="1:225" s="77" customFormat="1" ht="15.6" hidden="1" x14ac:dyDescent="0.3">
      <c r="A259" s="264" t="s">
        <v>17</v>
      </c>
      <c r="B259" s="380" t="s">
        <v>49</v>
      </c>
      <c r="C259" s="488" t="s">
        <v>18</v>
      </c>
      <c r="D259" s="380" t="s">
        <v>10</v>
      </c>
      <c r="E259" s="265" t="s">
        <v>365</v>
      </c>
      <c r="F259" s="380" t="s">
        <v>9</v>
      </c>
      <c r="G259" s="282">
        <f t="shared" ref="G259:R262" si="112">G260</f>
        <v>0</v>
      </c>
      <c r="H259" s="282">
        <f t="shared" si="112"/>
        <v>0</v>
      </c>
      <c r="I259" s="282">
        <f t="shared" si="112"/>
        <v>0</v>
      </c>
      <c r="J259" s="282">
        <f t="shared" si="112"/>
        <v>0</v>
      </c>
      <c r="K259" s="282">
        <f t="shared" si="112"/>
        <v>0</v>
      </c>
      <c r="L259" s="282">
        <f t="shared" si="112"/>
        <v>0</v>
      </c>
      <c r="M259" s="566">
        <f t="shared" si="112"/>
        <v>0</v>
      </c>
      <c r="N259" s="566">
        <f t="shared" si="112"/>
        <v>0</v>
      </c>
      <c r="O259" s="567">
        <f t="shared" si="112"/>
        <v>0</v>
      </c>
      <c r="P259" s="567">
        <f t="shared" si="112"/>
        <v>0</v>
      </c>
      <c r="Q259" s="567">
        <f t="shared" si="112"/>
        <v>0</v>
      </c>
      <c r="R259" s="567">
        <f t="shared" si="112"/>
        <v>0</v>
      </c>
      <c r="S259" s="131">
        <f t="shared" si="96"/>
        <v>0</v>
      </c>
      <c r="HK259" s="74"/>
      <c r="HL259" s="75"/>
      <c r="HM259" s="75"/>
      <c r="HN259" s="75"/>
      <c r="HO259" s="75"/>
      <c r="HP259" s="75"/>
      <c r="HQ259" s="131"/>
    </row>
    <row r="260" spans="1:225" s="77" customFormat="1" ht="15.6" hidden="1" x14ac:dyDescent="0.3">
      <c r="A260" s="267" t="s">
        <v>47</v>
      </c>
      <c r="B260" s="497" t="s">
        <v>49</v>
      </c>
      <c r="C260" s="496" t="s">
        <v>18</v>
      </c>
      <c r="D260" s="497" t="s">
        <v>25</v>
      </c>
      <c r="E260" s="265" t="s">
        <v>365</v>
      </c>
      <c r="F260" s="380" t="s">
        <v>9</v>
      </c>
      <c r="G260" s="282">
        <f t="shared" si="112"/>
        <v>0</v>
      </c>
      <c r="H260" s="282">
        <f t="shared" si="112"/>
        <v>0</v>
      </c>
      <c r="I260" s="282">
        <f t="shared" si="112"/>
        <v>0</v>
      </c>
      <c r="J260" s="282">
        <f t="shared" si="112"/>
        <v>0</v>
      </c>
      <c r="K260" s="282">
        <f t="shared" si="112"/>
        <v>0</v>
      </c>
      <c r="L260" s="282">
        <f t="shared" si="112"/>
        <v>0</v>
      </c>
      <c r="M260" s="566">
        <f t="shared" si="112"/>
        <v>0</v>
      </c>
      <c r="N260" s="566">
        <f t="shared" si="112"/>
        <v>0</v>
      </c>
      <c r="O260" s="567">
        <f t="shared" si="112"/>
        <v>0</v>
      </c>
      <c r="P260" s="567">
        <f t="shared" si="112"/>
        <v>0</v>
      </c>
      <c r="Q260" s="567">
        <f t="shared" si="112"/>
        <v>0</v>
      </c>
      <c r="R260" s="567">
        <f t="shared" si="112"/>
        <v>0</v>
      </c>
      <c r="S260" s="131">
        <f t="shared" si="96"/>
        <v>0</v>
      </c>
      <c r="HK260" s="74"/>
      <c r="HL260" s="75"/>
      <c r="HM260" s="75"/>
      <c r="HN260" s="75"/>
      <c r="HO260" s="75"/>
      <c r="HP260" s="75"/>
      <c r="HQ260" s="131"/>
    </row>
    <row r="261" spans="1:225" s="77" customFormat="1" ht="31.15" hidden="1" x14ac:dyDescent="0.3">
      <c r="A261" s="267" t="s">
        <v>785</v>
      </c>
      <c r="B261" s="497" t="s">
        <v>49</v>
      </c>
      <c r="C261" s="496" t="s">
        <v>18</v>
      </c>
      <c r="D261" s="497" t="s">
        <v>25</v>
      </c>
      <c r="E261" s="285" t="s">
        <v>389</v>
      </c>
      <c r="F261" s="497" t="s">
        <v>9</v>
      </c>
      <c r="G261" s="283">
        <f t="shared" si="112"/>
        <v>0</v>
      </c>
      <c r="H261" s="283">
        <f t="shared" si="112"/>
        <v>0</v>
      </c>
      <c r="I261" s="283">
        <f t="shared" si="112"/>
        <v>0</v>
      </c>
      <c r="J261" s="283">
        <f t="shared" si="112"/>
        <v>0</v>
      </c>
      <c r="K261" s="283">
        <f t="shared" si="112"/>
        <v>0</v>
      </c>
      <c r="L261" s="283">
        <f t="shared" si="112"/>
        <v>0</v>
      </c>
      <c r="M261" s="568">
        <f t="shared" si="112"/>
        <v>0</v>
      </c>
      <c r="N261" s="568">
        <f t="shared" si="112"/>
        <v>0</v>
      </c>
      <c r="O261" s="569">
        <f t="shared" si="112"/>
        <v>0</v>
      </c>
      <c r="P261" s="569">
        <f t="shared" si="112"/>
        <v>0</v>
      </c>
      <c r="Q261" s="569">
        <f t="shared" si="112"/>
        <v>0</v>
      </c>
      <c r="R261" s="569">
        <f t="shared" si="112"/>
        <v>0</v>
      </c>
      <c r="S261" s="132">
        <f t="shared" si="96"/>
        <v>0</v>
      </c>
      <c r="T261" s="80"/>
      <c r="U261" s="80"/>
      <c r="V261" s="80"/>
      <c r="W261" s="80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80"/>
      <c r="AP261" s="80"/>
      <c r="AQ261" s="80"/>
      <c r="AR261" s="80"/>
      <c r="AS261" s="80"/>
      <c r="AT261" s="80"/>
      <c r="AU261" s="80"/>
      <c r="AV261" s="80"/>
      <c r="AW261" s="80"/>
      <c r="AX261" s="80"/>
      <c r="AY261" s="80"/>
      <c r="AZ261" s="80"/>
      <c r="BA261" s="80"/>
      <c r="BB261" s="80"/>
      <c r="BC261" s="80"/>
      <c r="BD261" s="80"/>
      <c r="BE261" s="80"/>
      <c r="BF261" s="80"/>
      <c r="BG261" s="80"/>
      <c r="BH261" s="80"/>
      <c r="BI261" s="80"/>
      <c r="BJ261" s="80"/>
      <c r="BK261" s="80"/>
      <c r="BL261" s="80"/>
      <c r="BM261" s="80"/>
      <c r="BN261" s="80"/>
      <c r="BO261" s="80"/>
      <c r="BP261" s="80"/>
      <c r="BQ261" s="80"/>
      <c r="BR261" s="80"/>
      <c r="BS261" s="80"/>
      <c r="BT261" s="80"/>
      <c r="BU261" s="80"/>
      <c r="BV261" s="80"/>
      <c r="BW261" s="80"/>
      <c r="BX261" s="80"/>
      <c r="BY261" s="80"/>
      <c r="BZ261" s="80"/>
      <c r="CA261" s="80"/>
      <c r="CB261" s="80"/>
      <c r="CC261" s="80"/>
      <c r="CD261" s="80"/>
      <c r="CE261" s="80"/>
      <c r="CF261" s="80"/>
      <c r="CG261" s="80"/>
      <c r="CH261" s="80"/>
      <c r="CI261" s="80"/>
      <c r="CJ261" s="80"/>
      <c r="CK261" s="80"/>
      <c r="CL261" s="80"/>
      <c r="CM261" s="80"/>
      <c r="CN261" s="80"/>
      <c r="CO261" s="80"/>
      <c r="CP261" s="80"/>
      <c r="CQ261" s="80"/>
      <c r="CR261" s="80"/>
      <c r="CS261" s="80"/>
      <c r="CT261" s="80"/>
      <c r="CU261" s="80"/>
      <c r="CV261" s="80"/>
      <c r="CW261" s="80"/>
      <c r="CX261" s="80"/>
      <c r="CY261" s="80"/>
      <c r="CZ261" s="80"/>
      <c r="DA261" s="80"/>
      <c r="DB261" s="80"/>
      <c r="DC261" s="80"/>
      <c r="DD261" s="80"/>
      <c r="DE261" s="80"/>
      <c r="DF261" s="80"/>
      <c r="DG261" s="80"/>
      <c r="DH261" s="80"/>
      <c r="DI261" s="80"/>
      <c r="DJ261" s="80"/>
      <c r="DK261" s="80"/>
      <c r="DL261" s="80"/>
      <c r="DM261" s="80"/>
      <c r="DN261" s="80"/>
      <c r="DO261" s="80"/>
      <c r="DP261" s="80"/>
      <c r="DQ261" s="80"/>
      <c r="DR261" s="80"/>
      <c r="DS261" s="80"/>
      <c r="DT261" s="80"/>
      <c r="DU261" s="80"/>
      <c r="DV261" s="80"/>
      <c r="DW261" s="80"/>
      <c r="DX261" s="80"/>
      <c r="DY261" s="80"/>
      <c r="DZ261" s="80"/>
      <c r="EA261" s="80"/>
      <c r="EB261" s="80"/>
      <c r="EC261" s="80"/>
      <c r="ED261" s="80"/>
      <c r="EE261" s="80"/>
      <c r="EF261" s="80"/>
      <c r="EG261" s="80"/>
      <c r="EH261" s="80"/>
      <c r="EI261" s="80"/>
      <c r="EJ261" s="80"/>
      <c r="EK261" s="80"/>
      <c r="EL261" s="80"/>
      <c r="EM261" s="80"/>
      <c r="EN261" s="80"/>
      <c r="EO261" s="80"/>
      <c r="EP261" s="80"/>
      <c r="EQ261" s="80"/>
      <c r="ER261" s="80"/>
      <c r="ES261" s="80"/>
      <c r="ET261" s="80"/>
      <c r="EU261" s="80"/>
      <c r="EV261" s="80"/>
      <c r="EW261" s="80"/>
      <c r="EX261" s="80"/>
      <c r="EY261" s="80"/>
      <c r="EZ261" s="80"/>
      <c r="FA261" s="80"/>
      <c r="FB261" s="80"/>
      <c r="FC261" s="80"/>
      <c r="FD261" s="80"/>
      <c r="FE261" s="80"/>
      <c r="FF261" s="80"/>
      <c r="FG261" s="80"/>
      <c r="FH261" s="80"/>
      <c r="FI261" s="80"/>
      <c r="FJ261" s="80"/>
      <c r="FK261" s="80"/>
      <c r="FL261" s="80"/>
      <c r="FM261" s="80"/>
      <c r="FN261" s="80"/>
      <c r="FO261" s="80"/>
      <c r="FP261" s="80"/>
      <c r="FQ261" s="80"/>
      <c r="FR261" s="80"/>
      <c r="FS261" s="80"/>
      <c r="FT261" s="80"/>
      <c r="FU261" s="80"/>
      <c r="FV261" s="80"/>
      <c r="FW261" s="80"/>
      <c r="FX261" s="80"/>
      <c r="FY261" s="80"/>
      <c r="FZ261" s="80"/>
      <c r="GA261" s="80"/>
      <c r="GB261" s="80"/>
      <c r="GC261" s="80"/>
      <c r="GD261" s="80"/>
      <c r="GE261" s="80"/>
      <c r="GF261" s="80"/>
      <c r="GG261" s="80"/>
      <c r="GH261" s="80"/>
      <c r="GI261" s="80"/>
      <c r="GJ261" s="80"/>
      <c r="GK261" s="80"/>
      <c r="GL261" s="80"/>
      <c r="GM261" s="80"/>
      <c r="GN261" s="80"/>
      <c r="GO261" s="80"/>
      <c r="GP261" s="80"/>
      <c r="GQ261" s="80"/>
      <c r="GR261" s="80"/>
      <c r="GS261" s="80"/>
      <c r="GT261" s="80"/>
      <c r="GU261" s="80"/>
      <c r="GV261" s="80"/>
      <c r="GW261" s="80"/>
      <c r="GX261" s="80"/>
      <c r="GY261" s="80"/>
      <c r="GZ261" s="80"/>
      <c r="HA261" s="80"/>
      <c r="HB261" s="80"/>
      <c r="HC261" s="80"/>
      <c r="HD261" s="80"/>
      <c r="HE261" s="80"/>
      <c r="HF261" s="80"/>
      <c r="HG261" s="80"/>
      <c r="HH261" s="80"/>
      <c r="HI261" s="80"/>
      <c r="HJ261" s="80"/>
      <c r="HK261" s="78"/>
      <c r="HL261" s="79"/>
      <c r="HM261" s="79"/>
      <c r="HN261" s="79"/>
      <c r="HO261" s="79"/>
      <c r="HP261" s="79"/>
      <c r="HQ261" s="132"/>
    </row>
    <row r="262" spans="1:225" s="77" customFormat="1" ht="15.6" hidden="1" x14ac:dyDescent="0.3">
      <c r="A262" s="267" t="s">
        <v>26</v>
      </c>
      <c r="B262" s="497" t="s">
        <v>49</v>
      </c>
      <c r="C262" s="496" t="s">
        <v>18</v>
      </c>
      <c r="D262" s="497" t="s">
        <v>25</v>
      </c>
      <c r="E262" s="285" t="s">
        <v>391</v>
      </c>
      <c r="F262" s="497" t="s">
        <v>9</v>
      </c>
      <c r="G262" s="283">
        <f t="shared" si="112"/>
        <v>0</v>
      </c>
      <c r="H262" s="283">
        <f t="shared" si="112"/>
        <v>0</v>
      </c>
      <c r="I262" s="283">
        <f t="shared" si="112"/>
        <v>0</v>
      </c>
      <c r="J262" s="283">
        <f t="shared" si="112"/>
        <v>0</v>
      </c>
      <c r="K262" s="283">
        <f t="shared" si="112"/>
        <v>0</v>
      </c>
      <c r="L262" s="283">
        <f t="shared" si="112"/>
        <v>0</v>
      </c>
      <c r="M262" s="568">
        <f t="shared" si="112"/>
        <v>0</v>
      </c>
      <c r="N262" s="568">
        <f t="shared" si="112"/>
        <v>0</v>
      </c>
      <c r="O262" s="569">
        <f t="shared" si="112"/>
        <v>0</v>
      </c>
      <c r="P262" s="569">
        <f t="shared" si="112"/>
        <v>0</v>
      </c>
      <c r="Q262" s="569">
        <f t="shared" si="112"/>
        <v>0</v>
      </c>
      <c r="R262" s="569">
        <f t="shared" si="112"/>
        <v>0</v>
      </c>
      <c r="S262" s="132">
        <f t="shared" si="96"/>
        <v>0</v>
      </c>
      <c r="T262" s="80"/>
      <c r="U262" s="80"/>
      <c r="V262" s="80"/>
      <c r="W262" s="80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  <c r="AO262" s="80"/>
      <c r="AP262" s="80"/>
      <c r="AQ262" s="80"/>
      <c r="AR262" s="80"/>
      <c r="AS262" s="80"/>
      <c r="AT262" s="80"/>
      <c r="AU262" s="80"/>
      <c r="AV262" s="80"/>
      <c r="AW262" s="80"/>
      <c r="AX262" s="80"/>
      <c r="AY262" s="80"/>
      <c r="AZ262" s="80"/>
      <c r="BA262" s="80"/>
      <c r="BB262" s="80"/>
      <c r="BC262" s="80"/>
      <c r="BD262" s="80"/>
      <c r="BE262" s="80"/>
      <c r="BF262" s="80"/>
      <c r="BG262" s="80"/>
      <c r="BH262" s="80"/>
      <c r="BI262" s="80"/>
      <c r="BJ262" s="80"/>
      <c r="BK262" s="80"/>
      <c r="BL262" s="80"/>
      <c r="BM262" s="80"/>
      <c r="BN262" s="80"/>
      <c r="BO262" s="80"/>
      <c r="BP262" s="80"/>
      <c r="BQ262" s="80"/>
      <c r="BR262" s="80"/>
      <c r="BS262" s="80"/>
      <c r="BT262" s="80"/>
      <c r="BU262" s="80"/>
      <c r="BV262" s="80"/>
      <c r="BW262" s="80"/>
      <c r="BX262" s="80"/>
      <c r="BY262" s="80"/>
      <c r="BZ262" s="80"/>
      <c r="CA262" s="80"/>
      <c r="CB262" s="80"/>
      <c r="CC262" s="80"/>
      <c r="CD262" s="80"/>
      <c r="CE262" s="80"/>
      <c r="CF262" s="80"/>
      <c r="CG262" s="80"/>
      <c r="CH262" s="80"/>
      <c r="CI262" s="80"/>
      <c r="CJ262" s="80"/>
      <c r="CK262" s="80"/>
      <c r="CL262" s="80"/>
      <c r="CM262" s="80"/>
      <c r="CN262" s="80"/>
      <c r="CO262" s="80"/>
      <c r="CP262" s="80"/>
      <c r="CQ262" s="80"/>
      <c r="CR262" s="80"/>
      <c r="CS262" s="80"/>
      <c r="CT262" s="80"/>
      <c r="CU262" s="80"/>
      <c r="CV262" s="80"/>
      <c r="CW262" s="80"/>
      <c r="CX262" s="80"/>
      <c r="CY262" s="80"/>
      <c r="CZ262" s="80"/>
      <c r="DA262" s="80"/>
      <c r="DB262" s="80"/>
      <c r="DC262" s="80"/>
      <c r="DD262" s="80"/>
      <c r="DE262" s="80"/>
      <c r="DF262" s="80"/>
      <c r="DG262" s="80"/>
      <c r="DH262" s="80"/>
      <c r="DI262" s="80"/>
      <c r="DJ262" s="80"/>
      <c r="DK262" s="80"/>
      <c r="DL262" s="80"/>
      <c r="DM262" s="80"/>
      <c r="DN262" s="80"/>
      <c r="DO262" s="80"/>
      <c r="DP262" s="80"/>
      <c r="DQ262" s="80"/>
      <c r="DR262" s="80"/>
      <c r="DS262" s="80"/>
      <c r="DT262" s="80"/>
      <c r="DU262" s="80"/>
      <c r="DV262" s="80"/>
      <c r="DW262" s="80"/>
      <c r="DX262" s="80"/>
      <c r="DY262" s="80"/>
      <c r="DZ262" s="80"/>
      <c r="EA262" s="80"/>
      <c r="EB262" s="80"/>
      <c r="EC262" s="80"/>
      <c r="ED262" s="80"/>
      <c r="EE262" s="80"/>
      <c r="EF262" s="80"/>
      <c r="EG262" s="80"/>
      <c r="EH262" s="80"/>
      <c r="EI262" s="80"/>
      <c r="EJ262" s="80"/>
      <c r="EK262" s="80"/>
      <c r="EL262" s="80"/>
      <c r="EM262" s="80"/>
      <c r="EN262" s="80"/>
      <c r="EO262" s="80"/>
      <c r="EP262" s="80"/>
      <c r="EQ262" s="80"/>
      <c r="ER262" s="80"/>
      <c r="ES262" s="80"/>
      <c r="ET262" s="80"/>
      <c r="EU262" s="80"/>
      <c r="EV262" s="80"/>
      <c r="EW262" s="80"/>
      <c r="EX262" s="80"/>
      <c r="EY262" s="80"/>
      <c r="EZ262" s="80"/>
      <c r="FA262" s="80"/>
      <c r="FB262" s="80"/>
      <c r="FC262" s="80"/>
      <c r="FD262" s="80"/>
      <c r="FE262" s="80"/>
      <c r="FF262" s="80"/>
      <c r="FG262" s="80"/>
      <c r="FH262" s="80"/>
      <c r="FI262" s="80"/>
      <c r="FJ262" s="80"/>
      <c r="FK262" s="80"/>
      <c r="FL262" s="80"/>
      <c r="FM262" s="80"/>
      <c r="FN262" s="80"/>
      <c r="FO262" s="80"/>
      <c r="FP262" s="80"/>
      <c r="FQ262" s="80"/>
      <c r="FR262" s="80"/>
      <c r="FS262" s="80"/>
      <c r="FT262" s="80"/>
      <c r="FU262" s="80"/>
      <c r="FV262" s="80"/>
      <c r="FW262" s="80"/>
      <c r="FX262" s="80"/>
      <c r="FY262" s="80"/>
      <c r="FZ262" s="80"/>
      <c r="GA262" s="80"/>
      <c r="GB262" s="80"/>
      <c r="GC262" s="80"/>
      <c r="GD262" s="80"/>
      <c r="GE262" s="80"/>
      <c r="GF262" s="80"/>
      <c r="GG262" s="80"/>
      <c r="GH262" s="80"/>
      <c r="GI262" s="80"/>
      <c r="GJ262" s="80"/>
      <c r="GK262" s="80"/>
      <c r="GL262" s="80"/>
      <c r="GM262" s="80"/>
      <c r="GN262" s="80"/>
      <c r="GO262" s="80"/>
      <c r="GP262" s="80"/>
      <c r="GQ262" s="80"/>
      <c r="GR262" s="80"/>
      <c r="GS262" s="80"/>
      <c r="GT262" s="80"/>
      <c r="GU262" s="80"/>
      <c r="GV262" s="80"/>
      <c r="GW262" s="80"/>
      <c r="GX262" s="80"/>
      <c r="GY262" s="80"/>
      <c r="GZ262" s="80"/>
      <c r="HA262" s="80"/>
      <c r="HB262" s="80"/>
      <c r="HC262" s="80"/>
      <c r="HD262" s="80"/>
      <c r="HE262" s="80"/>
      <c r="HF262" s="80"/>
      <c r="HG262" s="80"/>
      <c r="HH262" s="80"/>
      <c r="HI262" s="80"/>
      <c r="HJ262" s="80"/>
      <c r="HK262" s="78"/>
      <c r="HL262" s="79"/>
      <c r="HM262" s="79"/>
      <c r="HN262" s="79"/>
      <c r="HO262" s="79"/>
      <c r="HP262" s="79"/>
      <c r="HQ262" s="132"/>
    </row>
    <row r="263" spans="1:225" s="77" customFormat="1" ht="62.45" hidden="1" x14ac:dyDescent="0.3">
      <c r="A263" s="264" t="s">
        <v>115</v>
      </c>
      <c r="B263" s="380" t="s">
        <v>49</v>
      </c>
      <c r="C263" s="488" t="s">
        <v>18</v>
      </c>
      <c r="D263" s="380" t="s">
        <v>25</v>
      </c>
      <c r="E263" s="265" t="s">
        <v>391</v>
      </c>
      <c r="F263" s="380" t="s">
        <v>113</v>
      </c>
      <c r="G263" s="282"/>
      <c r="H263" s="282"/>
      <c r="I263" s="265"/>
      <c r="J263" s="265"/>
      <c r="K263" s="265"/>
      <c r="L263" s="265"/>
      <c r="M263" s="570"/>
      <c r="N263" s="570"/>
      <c r="O263" s="571"/>
      <c r="P263" s="571"/>
      <c r="Q263" s="571"/>
      <c r="R263" s="571"/>
      <c r="S263" s="131">
        <f t="shared" si="96"/>
        <v>0</v>
      </c>
      <c r="HK263" s="74"/>
      <c r="HL263" s="75"/>
      <c r="HM263" s="75"/>
      <c r="HN263" s="75"/>
      <c r="HO263" s="75"/>
      <c r="HP263" s="75"/>
      <c r="HQ263" s="131"/>
    </row>
    <row r="264" spans="1:225" s="77" customFormat="1" ht="15.6" hidden="1" x14ac:dyDescent="0.3">
      <c r="A264" s="264" t="s">
        <v>97</v>
      </c>
      <c r="B264" s="380" t="s">
        <v>49</v>
      </c>
      <c r="C264" s="488" t="s">
        <v>51</v>
      </c>
      <c r="D264" s="380" t="s">
        <v>10</v>
      </c>
      <c r="E264" s="265" t="s">
        <v>365</v>
      </c>
      <c r="F264" s="380" t="s">
        <v>9</v>
      </c>
      <c r="G264" s="282">
        <f t="shared" ref="G264:R267" si="113">G265</f>
        <v>0</v>
      </c>
      <c r="H264" s="282">
        <f t="shared" si="113"/>
        <v>0</v>
      </c>
      <c r="I264" s="282">
        <f t="shared" si="113"/>
        <v>0</v>
      </c>
      <c r="J264" s="282">
        <f t="shared" si="113"/>
        <v>0</v>
      </c>
      <c r="K264" s="282">
        <f t="shared" si="113"/>
        <v>0</v>
      </c>
      <c r="L264" s="282">
        <f t="shared" si="113"/>
        <v>0</v>
      </c>
      <c r="M264" s="566">
        <f t="shared" si="113"/>
        <v>0</v>
      </c>
      <c r="N264" s="566">
        <f t="shared" si="113"/>
        <v>0</v>
      </c>
      <c r="O264" s="567">
        <f t="shared" si="113"/>
        <v>0</v>
      </c>
      <c r="P264" s="567">
        <f t="shared" si="113"/>
        <v>0</v>
      </c>
      <c r="Q264" s="567">
        <f t="shared" si="113"/>
        <v>0</v>
      </c>
      <c r="R264" s="567">
        <f t="shared" si="113"/>
        <v>0</v>
      </c>
      <c r="S264" s="131">
        <f t="shared" si="96"/>
        <v>0</v>
      </c>
    </row>
    <row r="265" spans="1:225" s="80" customFormat="1" ht="15.6" hidden="1" x14ac:dyDescent="0.3">
      <c r="A265" s="267" t="s">
        <v>98</v>
      </c>
      <c r="B265" s="497" t="s">
        <v>49</v>
      </c>
      <c r="C265" s="496" t="s">
        <v>51</v>
      </c>
      <c r="D265" s="497" t="s">
        <v>36</v>
      </c>
      <c r="E265" s="285" t="s">
        <v>365</v>
      </c>
      <c r="F265" s="497" t="s">
        <v>9</v>
      </c>
      <c r="G265" s="283">
        <f t="shared" si="113"/>
        <v>0</v>
      </c>
      <c r="H265" s="283">
        <f t="shared" si="113"/>
        <v>0</v>
      </c>
      <c r="I265" s="283">
        <f t="shared" si="113"/>
        <v>0</v>
      </c>
      <c r="J265" s="283">
        <f t="shared" si="113"/>
        <v>0</v>
      </c>
      <c r="K265" s="283">
        <f t="shared" si="113"/>
        <v>0</v>
      </c>
      <c r="L265" s="283">
        <f t="shared" si="113"/>
        <v>0</v>
      </c>
      <c r="M265" s="568">
        <f t="shared" si="113"/>
        <v>0</v>
      </c>
      <c r="N265" s="568">
        <f t="shared" si="113"/>
        <v>0</v>
      </c>
      <c r="O265" s="569">
        <f t="shared" si="113"/>
        <v>0</v>
      </c>
      <c r="P265" s="569">
        <f t="shared" si="113"/>
        <v>0</v>
      </c>
      <c r="Q265" s="569">
        <f t="shared" si="113"/>
        <v>0</v>
      </c>
      <c r="R265" s="569">
        <f t="shared" si="113"/>
        <v>0</v>
      </c>
      <c r="S265" s="132">
        <f t="shared" si="96"/>
        <v>0</v>
      </c>
    </row>
    <row r="266" spans="1:225" s="80" customFormat="1" ht="31.15" hidden="1" x14ac:dyDescent="0.3">
      <c r="A266" s="267" t="s">
        <v>785</v>
      </c>
      <c r="B266" s="497" t="s">
        <v>49</v>
      </c>
      <c r="C266" s="496" t="s">
        <v>51</v>
      </c>
      <c r="D266" s="497" t="s">
        <v>36</v>
      </c>
      <c r="E266" s="285" t="s">
        <v>389</v>
      </c>
      <c r="F266" s="497" t="s">
        <v>9</v>
      </c>
      <c r="G266" s="283">
        <f t="shared" si="113"/>
        <v>0</v>
      </c>
      <c r="H266" s="283">
        <f t="shared" si="113"/>
        <v>0</v>
      </c>
      <c r="I266" s="283">
        <f t="shared" si="113"/>
        <v>0</v>
      </c>
      <c r="J266" s="283">
        <f t="shared" si="113"/>
        <v>0</v>
      </c>
      <c r="K266" s="283">
        <f t="shared" si="113"/>
        <v>0</v>
      </c>
      <c r="L266" s="283">
        <f t="shared" si="113"/>
        <v>0</v>
      </c>
      <c r="M266" s="568">
        <f t="shared" si="113"/>
        <v>0</v>
      </c>
      <c r="N266" s="568">
        <f t="shared" si="113"/>
        <v>0</v>
      </c>
      <c r="O266" s="569">
        <f t="shared" si="113"/>
        <v>0</v>
      </c>
      <c r="P266" s="569">
        <f t="shared" si="113"/>
        <v>0</v>
      </c>
      <c r="Q266" s="569">
        <f t="shared" si="113"/>
        <v>0</v>
      </c>
      <c r="R266" s="569">
        <f t="shared" si="113"/>
        <v>0</v>
      </c>
      <c r="S266" s="132">
        <f t="shared" si="96"/>
        <v>0</v>
      </c>
    </row>
    <row r="267" spans="1:225" s="80" customFormat="1" ht="46.9" hidden="1" x14ac:dyDescent="0.3">
      <c r="A267" s="267" t="s">
        <v>658</v>
      </c>
      <c r="B267" s="497" t="s">
        <v>49</v>
      </c>
      <c r="C267" s="496" t="s">
        <v>51</v>
      </c>
      <c r="D267" s="497" t="s">
        <v>36</v>
      </c>
      <c r="E267" s="285" t="s">
        <v>657</v>
      </c>
      <c r="F267" s="497" t="s">
        <v>9</v>
      </c>
      <c r="G267" s="283">
        <f t="shared" si="113"/>
        <v>0</v>
      </c>
      <c r="H267" s="283">
        <f t="shared" si="113"/>
        <v>0</v>
      </c>
      <c r="I267" s="283">
        <f t="shared" si="113"/>
        <v>0</v>
      </c>
      <c r="J267" s="283">
        <f t="shared" si="113"/>
        <v>0</v>
      </c>
      <c r="K267" s="283">
        <f t="shared" si="113"/>
        <v>0</v>
      </c>
      <c r="L267" s="283">
        <f t="shared" si="113"/>
        <v>0</v>
      </c>
      <c r="M267" s="568">
        <f t="shared" si="113"/>
        <v>0</v>
      </c>
      <c r="N267" s="568">
        <f t="shared" si="113"/>
        <v>0</v>
      </c>
      <c r="O267" s="569">
        <f t="shared" si="113"/>
        <v>0</v>
      </c>
      <c r="P267" s="569">
        <f t="shared" si="113"/>
        <v>0</v>
      </c>
      <c r="Q267" s="569">
        <f t="shared" si="113"/>
        <v>0</v>
      </c>
      <c r="R267" s="569">
        <f t="shared" si="113"/>
        <v>0</v>
      </c>
      <c r="S267" s="132">
        <f t="shared" si="96"/>
        <v>0</v>
      </c>
    </row>
    <row r="268" spans="1:225" s="77" customFormat="1" ht="15.6" hidden="1" x14ac:dyDescent="0.3">
      <c r="A268" s="264" t="s">
        <v>123</v>
      </c>
      <c r="B268" s="380" t="s">
        <v>49</v>
      </c>
      <c r="C268" s="488" t="s">
        <v>51</v>
      </c>
      <c r="D268" s="380" t="s">
        <v>36</v>
      </c>
      <c r="E268" s="265" t="s">
        <v>657</v>
      </c>
      <c r="F268" s="380" t="s">
        <v>119</v>
      </c>
      <c r="G268" s="282"/>
      <c r="H268" s="282"/>
      <c r="I268" s="265"/>
      <c r="J268" s="265"/>
      <c r="K268" s="265"/>
      <c r="L268" s="265"/>
      <c r="M268" s="570"/>
      <c r="N268" s="570"/>
      <c r="O268" s="571"/>
      <c r="P268" s="571"/>
      <c r="Q268" s="571"/>
      <c r="R268" s="571"/>
      <c r="S268" s="131">
        <f t="shared" si="96"/>
        <v>0</v>
      </c>
    </row>
    <row r="269" spans="1:225" s="77" customFormat="1" x14ac:dyDescent="0.25">
      <c r="A269" s="264" t="s">
        <v>59</v>
      </c>
      <c r="B269" s="380" t="s">
        <v>49</v>
      </c>
      <c r="C269" s="488" t="s">
        <v>28</v>
      </c>
      <c r="D269" s="380" t="s">
        <v>10</v>
      </c>
      <c r="E269" s="265" t="s">
        <v>365</v>
      </c>
      <c r="F269" s="380" t="s">
        <v>9</v>
      </c>
      <c r="G269" s="282">
        <f t="shared" ref="G269:R272" si="114">G270</f>
        <v>0</v>
      </c>
      <c r="H269" s="282">
        <f t="shared" si="114"/>
        <v>3685.7</v>
      </c>
      <c r="I269" s="282">
        <f t="shared" si="114"/>
        <v>0</v>
      </c>
      <c r="J269" s="282">
        <f t="shared" si="114"/>
        <v>0</v>
      </c>
      <c r="K269" s="282">
        <f t="shared" si="114"/>
        <v>0</v>
      </c>
      <c r="L269" s="282">
        <f t="shared" si="114"/>
        <v>0</v>
      </c>
      <c r="M269" s="566">
        <f t="shared" si="114"/>
        <v>0</v>
      </c>
      <c r="N269" s="566">
        <f t="shared" si="114"/>
        <v>0</v>
      </c>
      <c r="O269" s="567">
        <f t="shared" si="114"/>
        <v>0</v>
      </c>
      <c r="P269" s="567">
        <f t="shared" si="114"/>
        <v>0</v>
      </c>
      <c r="Q269" s="567">
        <f t="shared" si="114"/>
        <v>0</v>
      </c>
      <c r="R269" s="567">
        <f t="shared" si="114"/>
        <v>0</v>
      </c>
      <c r="S269" s="131">
        <f t="shared" si="96"/>
        <v>3685.7</v>
      </c>
    </row>
    <row r="270" spans="1:225" s="80" customFormat="1" ht="31.5" x14ac:dyDescent="0.25">
      <c r="A270" s="267" t="s">
        <v>60</v>
      </c>
      <c r="B270" s="497" t="s">
        <v>49</v>
      </c>
      <c r="C270" s="496" t="s">
        <v>28</v>
      </c>
      <c r="D270" s="497" t="s">
        <v>14</v>
      </c>
      <c r="E270" s="285" t="s">
        <v>365</v>
      </c>
      <c r="F270" s="497" t="s">
        <v>9</v>
      </c>
      <c r="G270" s="283">
        <f t="shared" si="114"/>
        <v>0</v>
      </c>
      <c r="H270" s="283">
        <f t="shared" si="114"/>
        <v>3685.7</v>
      </c>
      <c r="I270" s="283">
        <f t="shared" si="114"/>
        <v>0</v>
      </c>
      <c r="J270" s="283">
        <f t="shared" si="114"/>
        <v>0</v>
      </c>
      <c r="K270" s="283">
        <f t="shared" si="114"/>
        <v>0</v>
      </c>
      <c r="L270" s="283">
        <f t="shared" si="114"/>
        <v>0</v>
      </c>
      <c r="M270" s="568">
        <f t="shared" si="114"/>
        <v>0</v>
      </c>
      <c r="N270" s="568">
        <f t="shared" si="114"/>
        <v>0</v>
      </c>
      <c r="O270" s="569">
        <f t="shared" si="114"/>
        <v>0</v>
      </c>
      <c r="P270" s="569">
        <f t="shared" si="114"/>
        <v>0</v>
      </c>
      <c r="Q270" s="569">
        <f t="shared" si="114"/>
        <v>0</v>
      </c>
      <c r="R270" s="569">
        <f t="shared" si="114"/>
        <v>0</v>
      </c>
      <c r="S270" s="132">
        <f t="shared" si="96"/>
        <v>3685.7</v>
      </c>
    </row>
    <row r="271" spans="1:225" s="80" customFormat="1" ht="31.5" x14ac:dyDescent="0.25">
      <c r="A271" s="267" t="s">
        <v>785</v>
      </c>
      <c r="B271" s="497" t="s">
        <v>49</v>
      </c>
      <c r="C271" s="496" t="s">
        <v>28</v>
      </c>
      <c r="D271" s="497" t="s">
        <v>14</v>
      </c>
      <c r="E271" s="285" t="s">
        <v>389</v>
      </c>
      <c r="F271" s="497" t="s">
        <v>9</v>
      </c>
      <c r="G271" s="283">
        <f t="shared" si="114"/>
        <v>0</v>
      </c>
      <c r="H271" s="283">
        <f t="shared" si="114"/>
        <v>3685.7</v>
      </c>
      <c r="I271" s="283">
        <f t="shared" si="114"/>
        <v>0</v>
      </c>
      <c r="J271" s="283">
        <f t="shared" si="114"/>
        <v>0</v>
      </c>
      <c r="K271" s="283">
        <f t="shared" si="114"/>
        <v>0</v>
      </c>
      <c r="L271" s="283">
        <f t="shared" si="114"/>
        <v>0</v>
      </c>
      <c r="M271" s="568">
        <f t="shared" si="114"/>
        <v>0</v>
      </c>
      <c r="N271" s="568">
        <f t="shared" si="114"/>
        <v>0</v>
      </c>
      <c r="O271" s="569">
        <f t="shared" si="114"/>
        <v>0</v>
      </c>
      <c r="P271" s="569">
        <f t="shared" si="114"/>
        <v>0</v>
      </c>
      <c r="Q271" s="569">
        <f t="shared" si="114"/>
        <v>0</v>
      </c>
      <c r="R271" s="569">
        <f t="shared" si="114"/>
        <v>0</v>
      </c>
      <c r="S271" s="132">
        <f t="shared" si="96"/>
        <v>3685.7</v>
      </c>
    </row>
    <row r="272" spans="1:225" s="80" customFormat="1" x14ac:dyDescent="0.25">
      <c r="A272" s="267" t="s">
        <v>61</v>
      </c>
      <c r="B272" s="497" t="s">
        <v>49</v>
      </c>
      <c r="C272" s="496" t="s">
        <v>28</v>
      </c>
      <c r="D272" s="497" t="s">
        <v>14</v>
      </c>
      <c r="E272" s="285" t="s">
        <v>400</v>
      </c>
      <c r="F272" s="497" t="s">
        <v>9</v>
      </c>
      <c r="G272" s="283">
        <f t="shared" si="114"/>
        <v>0</v>
      </c>
      <c r="H272" s="283">
        <f t="shared" si="114"/>
        <v>3685.7</v>
      </c>
      <c r="I272" s="283">
        <f t="shared" si="114"/>
        <v>0</v>
      </c>
      <c r="J272" s="283">
        <f t="shared" si="114"/>
        <v>0</v>
      </c>
      <c r="K272" s="283">
        <f t="shared" si="114"/>
        <v>0</v>
      </c>
      <c r="L272" s="283">
        <f t="shared" si="114"/>
        <v>0</v>
      </c>
      <c r="M272" s="568">
        <f t="shared" si="114"/>
        <v>0</v>
      </c>
      <c r="N272" s="568">
        <f t="shared" si="114"/>
        <v>0</v>
      </c>
      <c r="O272" s="569">
        <f t="shared" si="114"/>
        <v>0</v>
      </c>
      <c r="P272" s="569">
        <f t="shared" si="114"/>
        <v>0</v>
      </c>
      <c r="Q272" s="569">
        <f t="shared" si="114"/>
        <v>0</v>
      </c>
      <c r="R272" s="569">
        <f t="shared" si="114"/>
        <v>0</v>
      </c>
      <c r="S272" s="132">
        <f t="shared" si="96"/>
        <v>3685.7</v>
      </c>
    </row>
    <row r="273" spans="1:19" s="77" customFormat="1" x14ac:dyDescent="0.25">
      <c r="A273" s="264" t="s">
        <v>126</v>
      </c>
      <c r="B273" s="380" t="s">
        <v>49</v>
      </c>
      <c r="C273" s="488" t="s">
        <v>28</v>
      </c>
      <c r="D273" s="380" t="s">
        <v>14</v>
      </c>
      <c r="E273" s="265" t="s">
        <v>400</v>
      </c>
      <c r="F273" s="380" t="s">
        <v>120</v>
      </c>
      <c r="G273" s="282"/>
      <c r="H273" s="282">
        <f>3600+85.7</f>
        <v>3685.7</v>
      </c>
      <c r="I273" s="265"/>
      <c r="J273" s="265"/>
      <c r="K273" s="265"/>
      <c r="L273" s="282"/>
      <c r="M273" s="570"/>
      <c r="N273" s="566"/>
      <c r="O273" s="571"/>
      <c r="P273" s="571"/>
      <c r="Q273" s="571"/>
      <c r="R273" s="571"/>
      <c r="S273" s="566">
        <f t="shared" si="96"/>
        <v>3685.7</v>
      </c>
    </row>
    <row r="274" spans="1:19" s="77" customFormat="1" ht="31.5" x14ac:dyDescent="0.25">
      <c r="A274" s="264" t="s">
        <v>62</v>
      </c>
      <c r="B274" s="380" t="s">
        <v>49</v>
      </c>
      <c r="C274" s="488" t="s">
        <v>63</v>
      </c>
      <c r="D274" s="380" t="s">
        <v>10</v>
      </c>
      <c r="E274" s="265" t="s">
        <v>365</v>
      </c>
      <c r="F274" s="380" t="s">
        <v>9</v>
      </c>
      <c r="G274" s="282">
        <f t="shared" ref="G274:R274" si="115">G275+G282</f>
        <v>5700</v>
      </c>
      <c r="H274" s="282">
        <f t="shared" si="115"/>
        <v>40524.5</v>
      </c>
      <c r="I274" s="282">
        <f t="shared" si="115"/>
        <v>0</v>
      </c>
      <c r="J274" s="282">
        <f t="shared" si="115"/>
        <v>239.6</v>
      </c>
      <c r="K274" s="282">
        <f t="shared" si="115"/>
        <v>2130.9</v>
      </c>
      <c r="L274" s="282">
        <f t="shared" si="115"/>
        <v>220</v>
      </c>
      <c r="M274" s="566">
        <f t="shared" si="115"/>
        <v>30</v>
      </c>
      <c r="N274" s="566">
        <f t="shared" si="115"/>
        <v>370</v>
      </c>
      <c r="O274" s="567">
        <f t="shared" si="115"/>
        <v>0</v>
      </c>
      <c r="P274" s="567">
        <f t="shared" si="115"/>
        <v>0</v>
      </c>
      <c r="Q274" s="567">
        <f t="shared" si="115"/>
        <v>0</v>
      </c>
      <c r="R274" s="567">
        <f t="shared" si="115"/>
        <v>0</v>
      </c>
      <c r="S274" s="131">
        <f t="shared" si="96"/>
        <v>49215</v>
      </c>
    </row>
    <row r="275" spans="1:19" s="80" customFormat="1" ht="31.5" x14ac:dyDescent="0.25">
      <c r="A275" s="267" t="s">
        <v>64</v>
      </c>
      <c r="B275" s="497" t="s">
        <v>49</v>
      </c>
      <c r="C275" s="496" t="s">
        <v>63</v>
      </c>
      <c r="D275" s="497" t="s">
        <v>14</v>
      </c>
      <c r="E275" s="285" t="s">
        <v>365</v>
      </c>
      <c r="F275" s="497" t="s">
        <v>9</v>
      </c>
      <c r="G275" s="283">
        <f t="shared" ref="G275:R275" si="116">G276</f>
        <v>5700</v>
      </c>
      <c r="H275" s="283">
        <f t="shared" si="116"/>
        <v>0</v>
      </c>
      <c r="I275" s="283">
        <f t="shared" si="116"/>
        <v>0</v>
      </c>
      <c r="J275" s="283">
        <f t="shared" si="116"/>
        <v>0</v>
      </c>
      <c r="K275" s="283">
        <f t="shared" si="116"/>
        <v>0</v>
      </c>
      <c r="L275" s="283">
        <f t="shared" si="116"/>
        <v>0</v>
      </c>
      <c r="M275" s="568">
        <f t="shared" si="116"/>
        <v>0</v>
      </c>
      <c r="N275" s="568">
        <f t="shared" si="116"/>
        <v>0</v>
      </c>
      <c r="O275" s="569">
        <f t="shared" si="116"/>
        <v>0</v>
      </c>
      <c r="P275" s="569">
        <f t="shared" si="116"/>
        <v>0</v>
      </c>
      <c r="Q275" s="569">
        <f t="shared" si="116"/>
        <v>0</v>
      </c>
      <c r="R275" s="569">
        <f t="shared" si="116"/>
        <v>0</v>
      </c>
      <c r="S275" s="132">
        <f t="shared" si="96"/>
        <v>5700</v>
      </c>
    </row>
    <row r="276" spans="1:19" s="80" customFormat="1" ht="31.5" x14ac:dyDescent="0.25">
      <c r="A276" s="267" t="s">
        <v>785</v>
      </c>
      <c r="B276" s="497" t="s">
        <v>49</v>
      </c>
      <c r="C276" s="496" t="s">
        <v>63</v>
      </c>
      <c r="D276" s="497" t="s">
        <v>14</v>
      </c>
      <c r="E276" s="285" t="s">
        <v>389</v>
      </c>
      <c r="F276" s="497" t="s">
        <v>9</v>
      </c>
      <c r="G276" s="283">
        <f t="shared" ref="G276:R276" si="117">G277+G280</f>
        <v>5700</v>
      </c>
      <c r="H276" s="283">
        <f t="shared" si="117"/>
        <v>0</v>
      </c>
      <c r="I276" s="283">
        <f t="shared" si="117"/>
        <v>0</v>
      </c>
      <c r="J276" s="283">
        <f t="shared" si="117"/>
        <v>0</v>
      </c>
      <c r="K276" s="283">
        <f t="shared" si="117"/>
        <v>0</v>
      </c>
      <c r="L276" s="283">
        <f t="shared" si="117"/>
        <v>0</v>
      </c>
      <c r="M276" s="568">
        <f t="shared" si="117"/>
        <v>0</v>
      </c>
      <c r="N276" s="568">
        <f t="shared" si="117"/>
        <v>0</v>
      </c>
      <c r="O276" s="569">
        <f t="shared" si="117"/>
        <v>0</v>
      </c>
      <c r="P276" s="569">
        <f t="shared" si="117"/>
        <v>0</v>
      </c>
      <c r="Q276" s="569">
        <f t="shared" si="117"/>
        <v>0</v>
      </c>
      <c r="R276" s="569">
        <f t="shared" si="117"/>
        <v>0</v>
      </c>
      <c r="S276" s="132">
        <f t="shared" si="96"/>
        <v>5700</v>
      </c>
    </row>
    <row r="277" spans="1:19" s="80" customFormat="1" ht="47.25" x14ac:dyDescent="0.25">
      <c r="A277" s="267" t="s">
        <v>1110</v>
      </c>
      <c r="B277" s="497" t="s">
        <v>49</v>
      </c>
      <c r="C277" s="496" t="s">
        <v>63</v>
      </c>
      <c r="D277" s="497" t="s">
        <v>14</v>
      </c>
      <c r="E277" s="285" t="s">
        <v>396</v>
      </c>
      <c r="F277" s="497" t="s">
        <v>9</v>
      </c>
      <c r="G277" s="283">
        <f t="shared" ref="G277:R278" si="118">G278</f>
        <v>5466</v>
      </c>
      <c r="H277" s="283">
        <f t="shared" si="118"/>
        <v>0</v>
      </c>
      <c r="I277" s="283">
        <f t="shared" si="118"/>
        <v>0</v>
      </c>
      <c r="J277" s="283">
        <f t="shared" si="118"/>
        <v>0</v>
      </c>
      <c r="K277" s="283">
        <f t="shared" si="118"/>
        <v>0</v>
      </c>
      <c r="L277" s="283">
        <f t="shared" si="118"/>
        <v>0</v>
      </c>
      <c r="M277" s="568">
        <f t="shared" si="118"/>
        <v>0</v>
      </c>
      <c r="N277" s="568">
        <f t="shared" si="118"/>
        <v>0</v>
      </c>
      <c r="O277" s="569">
        <f t="shared" si="118"/>
        <v>0</v>
      </c>
      <c r="P277" s="569">
        <f t="shared" si="118"/>
        <v>0</v>
      </c>
      <c r="Q277" s="569">
        <f t="shared" si="118"/>
        <v>0</v>
      </c>
      <c r="R277" s="569">
        <f t="shared" si="118"/>
        <v>0</v>
      </c>
      <c r="S277" s="132">
        <f t="shared" si="96"/>
        <v>5466</v>
      </c>
    </row>
    <row r="278" spans="1:19" s="80" customFormat="1" x14ac:dyDescent="0.25">
      <c r="A278" s="267" t="s">
        <v>65</v>
      </c>
      <c r="B278" s="497" t="s">
        <v>49</v>
      </c>
      <c r="C278" s="496" t="s">
        <v>63</v>
      </c>
      <c r="D278" s="497" t="s">
        <v>14</v>
      </c>
      <c r="E278" s="285" t="s">
        <v>401</v>
      </c>
      <c r="F278" s="497" t="s">
        <v>9</v>
      </c>
      <c r="G278" s="283">
        <f t="shared" si="118"/>
        <v>5466</v>
      </c>
      <c r="H278" s="283">
        <f t="shared" si="118"/>
        <v>0</v>
      </c>
      <c r="I278" s="283">
        <f t="shared" si="118"/>
        <v>0</v>
      </c>
      <c r="J278" s="283">
        <f t="shared" si="118"/>
        <v>0</v>
      </c>
      <c r="K278" s="283">
        <f t="shared" si="118"/>
        <v>0</v>
      </c>
      <c r="L278" s="283">
        <f t="shared" si="118"/>
        <v>0</v>
      </c>
      <c r="M278" s="568">
        <f t="shared" si="118"/>
        <v>0</v>
      </c>
      <c r="N278" s="568">
        <f t="shared" si="118"/>
        <v>0</v>
      </c>
      <c r="O278" s="569">
        <f t="shared" si="118"/>
        <v>0</v>
      </c>
      <c r="P278" s="569">
        <f t="shared" si="118"/>
        <v>0</v>
      </c>
      <c r="Q278" s="569">
        <f t="shared" si="118"/>
        <v>0</v>
      </c>
      <c r="R278" s="569">
        <f t="shared" si="118"/>
        <v>0</v>
      </c>
      <c r="S278" s="132">
        <f t="shared" ref="S278:S292" si="119">G278+H278+I278+J278+K278+L278+M278+N278+O278+P278+Q278+R278</f>
        <v>5466</v>
      </c>
    </row>
    <row r="279" spans="1:19" s="77" customFormat="1" x14ac:dyDescent="0.25">
      <c r="A279" s="264" t="s">
        <v>123</v>
      </c>
      <c r="B279" s="380" t="s">
        <v>49</v>
      </c>
      <c r="C279" s="488" t="s">
        <v>63</v>
      </c>
      <c r="D279" s="380" t="s">
        <v>14</v>
      </c>
      <c r="E279" s="265" t="s">
        <v>401</v>
      </c>
      <c r="F279" s="380" t="s">
        <v>119</v>
      </c>
      <c r="G279" s="282">
        <v>5466</v>
      </c>
      <c r="H279" s="282"/>
      <c r="I279" s="265"/>
      <c r="J279" s="265"/>
      <c r="K279" s="265"/>
      <c r="L279" s="265"/>
      <c r="M279" s="570"/>
      <c r="N279" s="570"/>
      <c r="O279" s="571"/>
      <c r="P279" s="571"/>
      <c r="Q279" s="571"/>
      <c r="R279" s="571"/>
      <c r="S279" s="566">
        <f t="shared" si="119"/>
        <v>5466</v>
      </c>
    </row>
    <row r="280" spans="1:19" s="80" customFormat="1" x14ac:dyDescent="0.25">
      <c r="A280" s="267" t="s">
        <v>65</v>
      </c>
      <c r="B280" s="497" t="s">
        <v>49</v>
      </c>
      <c r="C280" s="496" t="s">
        <v>63</v>
      </c>
      <c r="D280" s="497" t="s">
        <v>14</v>
      </c>
      <c r="E280" s="285" t="s">
        <v>521</v>
      </c>
      <c r="F280" s="497" t="s">
        <v>9</v>
      </c>
      <c r="G280" s="283">
        <f t="shared" ref="G280:R280" si="120">G281</f>
        <v>234</v>
      </c>
      <c r="H280" s="283">
        <f t="shared" si="120"/>
        <v>0</v>
      </c>
      <c r="I280" s="283">
        <f t="shared" si="120"/>
        <v>0</v>
      </c>
      <c r="J280" s="283">
        <f t="shared" si="120"/>
        <v>0</v>
      </c>
      <c r="K280" s="283">
        <f t="shared" si="120"/>
        <v>0</v>
      </c>
      <c r="L280" s="283">
        <f t="shared" si="120"/>
        <v>0</v>
      </c>
      <c r="M280" s="568">
        <f t="shared" si="120"/>
        <v>0</v>
      </c>
      <c r="N280" s="568">
        <f t="shared" si="120"/>
        <v>0</v>
      </c>
      <c r="O280" s="569">
        <f t="shared" si="120"/>
        <v>0</v>
      </c>
      <c r="P280" s="569">
        <f t="shared" si="120"/>
        <v>0</v>
      </c>
      <c r="Q280" s="569">
        <f t="shared" si="120"/>
        <v>0</v>
      </c>
      <c r="R280" s="569">
        <f t="shared" si="120"/>
        <v>0</v>
      </c>
      <c r="S280" s="132">
        <f t="shared" si="119"/>
        <v>234</v>
      </c>
    </row>
    <row r="281" spans="1:19" s="77" customFormat="1" x14ac:dyDescent="0.25">
      <c r="A281" s="264" t="s">
        <v>123</v>
      </c>
      <c r="B281" s="380" t="s">
        <v>49</v>
      </c>
      <c r="C281" s="488" t="s">
        <v>63</v>
      </c>
      <c r="D281" s="380" t="s">
        <v>14</v>
      </c>
      <c r="E281" s="265" t="s">
        <v>521</v>
      </c>
      <c r="F281" s="380" t="s">
        <v>119</v>
      </c>
      <c r="G281" s="282">
        <v>234</v>
      </c>
      <c r="H281" s="282"/>
      <c r="I281" s="265"/>
      <c r="J281" s="265"/>
      <c r="K281" s="265"/>
      <c r="L281" s="265"/>
      <c r="M281" s="570"/>
      <c r="N281" s="570"/>
      <c r="O281" s="571"/>
      <c r="P281" s="571"/>
      <c r="Q281" s="571"/>
      <c r="R281" s="571"/>
      <c r="S281" s="566">
        <f t="shared" si="119"/>
        <v>234</v>
      </c>
    </row>
    <row r="282" spans="1:19" s="80" customFormat="1" x14ac:dyDescent="0.25">
      <c r="A282" s="267" t="s">
        <v>67</v>
      </c>
      <c r="B282" s="497" t="s">
        <v>49</v>
      </c>
      <c r="C282" s="496" t="s">
        <v>63</v>
      </c>
      <c r="D282" s="497" t="s">
        <v>20</v>
      </c>
      <c r="E282" s="285" t="s">
        <v>365</v>
      </c>
      <c r="F282" s="497" t="s">
        <v>9</v>
      </c>
      <c r="G282" s="283">
        <f t="shared" ref="G282:R282" si="121">G283+G308</f>
        <v>0</v>
      </c>
      <c r="H282" s="283">
        <f t="shared" si="121"/>
        <v>40524.5</v>
      </c>
      <c r="I282" s="283">
        <f t="shared" si="121"/>
        <v>0</v>
      </c>
      <c r="J282" s="283">
        <f t="shared" si="121"/>
        <v>239.6</v>
      </c>
      <c r="K282" s="283">
        <f t="shared" si="121"/>
        <v>2130.9</v>
      </c>
      <c r="L282" s="283">
        <f t="shared" si="121"/>
        <v>220</v>
      </c>
      <c r="M282" s="568">
        <f t="shared" si="121"/>
        <v>30</v>
      </c>
      <c r="N282" s="568">
        <f t="shared" si="121"/>
        <v>370</v>
      </c>
      <c r="O282" s="569">
        <f t="shared" si="121"/>
        <v>0</v>
      </c>
      <c r="P282" s="569">
        <f t="shared" si="121"/>
        <v>0</v>
      </c>
      <c r="Q282" s="569">
        <f t="shared" si="121"/>
        <v>0</v>
      </c>
      <c r="R282" s="569">
        <f t="shared" si="121"/>
        <v>0</v>
      </c>
      <c r="S282" s="132">
        <f t="shared" si="119"/>
        <v>43515</v>
      </c>
    </row>
    <row r="283" spans="1:19" s="80" customFormat="1" ht="31.5" x14ac:dyDescent="0.25">
      <c r="A283" s="267" t="s">
        <v>785</v>
      </c>
      <c r="B283" s="497" t="s">
        <v>49</v>
      </c>
      <c r="C283" s="496" t="s">
        <v>63</v>
      </c>
      <c r="D283" s="497" t="s">
        <v>20</v>
      </c>
      <c r="E283" s="285" t="s">
        <v>389</v>
      </c>
      <c r="F283" s="497" t="s">
        <v>9</v>
      </c>
      <c r="G283" s="283">
        <f t="shared" ref="G283:R283" si="122">G286+G295+G284+G293+G302</f>
        <v>0</v>
      </c>
      <c r="H283" s="283">
        <f t="shared" si="122"/>
        <v>40524.5</v>
      </c>
      <c r="I283" s="283">
        <f t="shared" si="122"/>
        <v>0</v>
      </c>
      <c r="J283" s="283">
        <f t="shared" si="122"/>
        <v>239.6</v>
      </c>
      <c r="K283" s="283">
        <f t="shared" si="122"/>
        <v>2130.9</v>
      </c>
      <c r="L283" s="283">
        <f t="shared" si="122"/>
        <v>220</v>
      </c>
      <c r="M283" s="568">
        <f t="shared" si="122"/>
        <v>30</v>
      </c>
      <c r="N283" s="568">
        <f t="shared" si="122"/>
        <v>370</v>
      </c>
      <c r="O283" s="569">
        <f t="shared" si="122"/>
        <v>0</v>
      </c>
      <c r="P283" s="569">
        <f t="shared" si="122"/>
        <v>0</v>
      </c>
      <c r="Q283" s="569">
        <f t="shared" si="122"/>
        <v>0</v>
      </c>
      <c r="R283" s="569">
        <f t="shared" si="122"/>
        <v>0</v>
      </c>
      <c r="S283" s="132">
        <f t="shared" si="119"/>
        <v>43515</v>
      </c>
    </row>
    <row r="284" spans="1:19" s="80" customFormat="1" ht="31.15" hidden="1" x14ac:dyDescent="0.3">
      <c r="A284" s="267" t="s">
        <v>952</v>
      </c>
      <c r="B284" s="497" t="s">
        <v>49</v>
      </c>
      <c r="C284" s="496" t="s">
        <v>63</v>
      </c>
      <c r="D284" s="497" t="s">
        <v>20</v>
      </c>
      <c r="E284" s="285" t="s">
        <v>953</v>
      </c>
      <c r="F284" s="497" t="s">
        <v>9</v>
      </c>
      <c r="G284" s="283">
        <f t="shared" ref="G284:R284" si="123">G285</f>
        <v>0</v>
      </c>
      <c r="H284" s="283">
        <f t="shared" si="123"/>
        <v>0</v>
      </c>
      <c r="I284" s="283">
        <f t="shared" si="123"/>
        <v>0</v>
      </c>
      <c r="J284" s="283">
        <f t="shared" si="123"/>
        <v>0</v>
      </c>
      <c r="K284" s="283">
        <f t="shared" si="123"/>
        <v>0</v>
      </c>
      <c r="L284" s="283">
        <f t="shared" si="123"/>
        <v>0</v>
      </c>
      <c r="M284" s="568">
        <f t="shared" si="123"/>
        <v>0</v>
      </c>
      <c r="N284" s="568">
        <f t="shared" si="123"/>
        <v>0</v>
      </c>
      <c r="O284" s="569">
        <f t="shared" si="123"/>
        <v>0</v>
      </c>
      <c r="P284" s="569">
        <f t="shared" si="123"/>
        <v>0</v>
      </c>
      <c r="Q284" s="569">
        <f t="shared" si="123"/>
        <v>0</v>
      </c>
      <c r="R284" s="569">
        <f t="shared" si="123"/>
        <v>0</v>
      </c>
      <c r="S284" s="132">
        <f t="shared" si="119"/>
        <v>0</v>
      </c>
    </row>
    <row r="285" spans="1:19" s="80" customFormat="1" ht="15.6" hidden="1" x14ac:dyDescent="0.3">
      <c r="A285" s="264" t="s">
        <v>123</v>
      </c>
      <c r="B285" s="380" t="s">
        <v>49</v>
      </c>
      <c r="C285" s="488" t="s">
        <v>63</v>
      </c>
      <c r="D285" s="380" t="s">
        <v>20</v>
      </c>
      <c r="E285" s="265" t="s">
        <v>953</v>
      </c>
      <c r="F285" s="380" t="s">
        <v>119</v>
      </c>
      <c r="G285" s="282"/>
      <c r="H285" s="282"/>
      <c r="I285" s="282"/>
      <c r="J285" s="282"/>
      <c r="K285" s="282"/>
      <c r="L285" s="282"/>
      <c r="M285" s="566"/>
      <c r="N285" s="566"/>
      <c r="O285" s="131"/>
      <c r="P285" s="131"/>
      <c r="Q285" s="131"/>
      <c r="R285" s="131"/>
      <c r="S285" s="131">
        <f t="shared" si="119"/>
        <v>0</v>
      </c>
    </row>
    <row r="286" spans="1:19" s="80" customFormat="1" ht="46.9" hidden="1" x14ac:dyDescent="0.3">
      <c r="A286" s="267" t="s">
        <v>41</v>
      </c>
      <c r="B286" s="497" t="s">
        <v>49</v>
      </c>
      <c r="C286" s="496" t="s">
        <v>63</v>
      </c>
      <c r="D286" s="497" t="s">
        <v>20</v>
      </c>
      <c r="E286" s="285" t="s">
        <v>399</v>
      </c>
      <c r="F286" s="497" t="s">
        <v>9</v>
      </c>
      <c r="G286" s="283">
        <f t="shared" ref="G286:R286" si="124">G287+G291</f>
        <v>0</v>
      </c>
      <c r="H286" s="283">
        <f t="shared" si="124"/>
        <v>0</v>
      </c>
      <c r="I286" s="283">
        <f t="shared" si="124"/>
        <v>0</v>
      </c>
      <c r="J286" s="283">
        <f t="shared" si="124"/>
        <v>0</v>
      </c>
      <c r="K286" s="283">
        <f t="shared" si="124"/>
        <v>0</v>
      </c>
      <c r="L286" s="283">
        <f t="shared" si="124"/>
        <v>0</v>
      </c>
      <c r="M286" s="568">
        <f t="shared" si="124"/>
        <v>0</v>
      </c>
      <c r="N286" s="568">
        <f t="shared" si="124"/>
        <v>0</v>
      </c>
      <c r="O286" s="569">
        <f t="shared" si="124"/>
        <v>0</v>
      </c>
      <c r="P286" s="569">
        <f t="shared" si="124"/>
        <v>0</v>
      </c>
      <c r="Q286" s="569">
        <f t="shared" si="124"/>
        <v>0</v>
      </c>
      <c r="R286" s="569">
        <f t="shared" si="124"/>
        <v>0</v>
      </c>
      <c r="S286" s="132">
        <f t="shared" si="119"/>
        <v>0</v>
      </c>
    </row>
    <row r="287" spans="1:19" s="80" customFormat="1" ht="31.15" hidden="1" x14ac:dyDescent="0.3">
      <c r="A287" s="267" t="s">
        <v>464</v>
      </c>
      <c r="B287" s="497" t="s">
        <v>49</v>
      </c>
      <c r="C287" s="496" t="s">
        <v>63</v>
      </c>
      <c r="D287" s="497" t="s">
        <v>20</v>
      </c>
      <c r="E287" s="285" t="s">
        <v>463</v>
      </c>
      <c r="F287" s="497" t="s">
        <v>9</v>
      </c>
      <c r="G287" s="283">
        <f t="shared" ref="G287:R287" si="125">G288</f>
        <v>0</v>
      </c>
      <c r="H287" s="283">
        <f t="shared" si="125"/>
        <v>0</v>
      </c>
      <c r="I287" s="283">
        <f t="shared" si="125"/>
        <v>0</v>
      </c>
      <c r="J287" s="283">
        <f t="shared" si="125"/>
        <v>0</v>
      </c>
      <c r="K287" s="283">
        <f t="shared" si="125"/>
        <v>0</v>
      </c>
      <c r="L287" s="283">
        <f t="shared" si="125"/>
        <v>0</v>
      </c>
      <c r="M287" s="568">
        <f t="shared" si="125"/>
        <v>0</v>
      </c>
      <c r="N287" s="568">
        <f t="shared" si="125"/>
        <v>0</v>
      </c>
      <c r="O287" s="569">
        <f t="shared" si="125"/>
        <v>0</v>
      </c>
      <c r="P287" s="569">
        <f t="shared" si="125"/>
        <v>0</v>
      </c>
      <c r="Q287" s="569">
        <f t="shared" si="125"/>
        <v>0</v>
      </c>
      <c r="R287" s="569">
        <f t="shared" si="125"/>
        <v>0</v>
      </c>
      <c r="S287" s="132">
        <f t="shared" si="119"/>
        <v>0</v>
      </c>
    </row>
    <row r="288" spans="1:19" s="77" customFormat="1" ht="15.6" hidden="1" x14ac:dyDescent="0.3">
      <c r="A288" s="264" t="s">
        <v>123</v>
      </c>
      <c r="B288" s="380" t="s">
        <v>49</v>
      </c>
      <c r="C288" s="488" t="s">
        <v>63</v>
      </c>
      <c r="D288" s="380" t="s">
        <v>20</v>
      </c>
      <c r="E288" s="265" t="s">
        <v>463</v>
      </c>
      <c r="F288" s="380" t="s">
        <v>119</v>
      </c>
      <c r="G288" s="282"/>
      <c r="H288" s="282"/>
      <c r="I288" s="265"/>
      <c r="J288" s="265"/>
      <c r="K288" s="265"/>
      <c r="L288" s="265"/>
      <c r="M288" s="570"/>
      <c r="N288" s="570"/>
      <c r="O288" s="571"/>
      <c r="P288" s="571"/>
      <c r="Q288" s="571"/>
      <c r="R288" s="571"/>
      <c r="S288" s="131">
        <f t="shared" si="119"/>
        <v>0</v>
      </c>
    </row>
    <row r="289" spans="1:19" s="77" customFormat="1" ht="31.15" hidden="1" x14ac:dyDescent="0.3">
      <c r="A289" s="267" t="s">
        <v>954</v>
      </c>
      <c r="B289" s="497" t="s">
        <v>49</v>
      </c>
      <c r="C289" s="496" t="s">
        <v>63</v>
      </c>
      <c r="D289" s="497" t="s">
        <v>20</v>
      </c>
      <c r="E289" s="285" t="s">
        <v>955</v>
      </c>
      <c r="F289" s="497" t="s">
        <v>9</v>
      </c>
      <c r="G289" s="265"/>
      <c r="H289" s="265"/>
      <c r="I289" s="265"/>
      <c r="J289" s="265"/>
      <c r="K289" s="265"/>
      <c r="L289" s="265"/>
      <c r="M289" s="570"/>
      <c r="N289" s="570"/>
      <c r="O289" s="573"/>
      <c r="P289" s="573"/>
      <c r="Q289" s="573"/>
      <c r="R289" s="573"/>
      <c r="S289" s="131">
        <f t="shared" si="119"/>
        <v>0</v>
      </c>
    </row>
    <row r="290" spans="1:19" s="77" customFormat="1" ht="15.6" hidden="1" x14ac:dyDescent="0.3">
      <c r="A290" s="264" t="s">
        <v>123</v>
      </c>
      <c r="B290" s="380" t="s">
        <v>49</v>
      </c>
      <c r="C290" s="488" t="s">
        <v>63</v>
      </c>
      <c r="D290" s="380" t="s">
        <v>20</v>
      </c>
      <c r="E290" s="265" t="s">
        <v>955</v>
      </c>
      <c r="F290" s="380" t="s">
        <v>119</v>
      </c>
      <c r="G290" s="282"/>
      <c r="H290" s="282"/>
      <c r="I290" s="265"/>
      <c r="J290" s="282"/>
      <c r="K290" s="265"/>
      <c r="L290" s="265"/>
      <c r="M290" s="570"/>
      <c r="N290" s="570"/>
      <c r="O290" s="571"/>
      <c r="P290" s="571"/>
      <c r="Q290" s="571"/>
      <c r="R290" s="571"/>
      <c r="S290" s="131">
        <f t="shared" si="119"/>
        <v>0</v>
      </c>
    </row>
    <row r="291" spans="1:19" s="80" customFormat="1" ht="31.15" hidden="1" x14ac:dyDescent="0.3">
      <c r="A291" s="267" t="s">
        <v>848</v>
      </c>
      <c r="B291" s="497" t="s">
        <v>49</v>
      </c>
      <c r="C291" s="496" t="s">
        <v>63</v>
      </c>
      <c r="D291" s="497" t="s">
        <v>20</v>
      </c>
      <c r="E291" s="285" t="s">
        <v>806</v>
      </c>
      <c r="F291" s="497" t="s">
        <v>9</v>
      </c>
      <c r="G291" s="283">
        <f t="shared" ref="G291:R291" si="126">G292</f>
        <v>0</v>
      </c>
      <c r="H291" s="283">
        <f t="shared" si="126"/>
        <v>0</v>
      </c>
      <c r="I291" s="283">
        <f t="shared" si="126"/>
        <v>0</v>
      </c>
      <c r="J291" s="283">
        <f t="shared" si="126"/>
        <v>0</v>
      </c>
      <c r="K291" s="283">
        <f t="shared" si="126"/>
        <v>0</v>
      </c>
      <c r="L291" s="283">
        <f t="shared" si="126"/>
        <v>0</v>
      </c>
      <c r="M291" s="568">
        <f t="shared" si="126"/>
        <v>0</v>
      </c>
      <c r="N291" s="568">
        <f t="shared" si="126"/>
        <v>0</v>
      </c>
      <c r="O291" s="569">
        <f t="shared" si="126"/>
        <v>0</v>
      </c>
      <c r="P291" s="569">
        <f t="shared" si="126"/>
        <v>0</v>
      </c>
      <c r="Q291" s="569">
        <f t="shared" si="126"/>
        <v>0</v>
      </c>
      <c r="R291" s="569">
        <f t="shared" si="126"/>
        <v>0</v>
      </c>
      <c r="S291" s="132">
        <f t="shared" si="119"/>
        <v>0</v>
      </c>
    </row>
    <row r="292" spans="1:19" s="77" customFormat="1" ht="15.6" hidden="1" x14ac:dyDescent="0.3">
      <c r="A292" s="264" t="s">
        <v>123</v>
      </c>
      <c r="B292" s="380" t="s">
        <v>49</v>
      </c>
      <c r="C292" s="488" t="s">
        <v>63</v>
      </c>
      <c r="D292" s="380" t="s">
        <v>20</v>
      </c>
      <c r="E292" s="265" t="s">
        <v>806</v>
      </c>
      <c r="F292" s="380" t="s">
        <v>119</v>
      </c>
      <c r="G292" s="282"/>
      <c r="H292" s="282"/>
      <c r="I292" s="265"/>
      <c r="J292" s="265"/>
      <c r="K292" s="265"/>
      <c r="L292" s="265"/>
      <c r="M292" s="570"/>
      <c r="N292" s="570"/>
      <c r="O292" s="571"/>
      <c r="P292" s="571"/>
      <c r="Q292" s="571"/>
      <c r="R292" s="571"/>
      <c r="S292" s="131">
        <f t="shared" si="119"/>
        <v>0</v>
      </c>
    </row>
    <row r="293" spans="1:19" s="80" customFormat="1" ht="46.9" hidden="1" x14ac:dyDescent="0.3">
      <c r="A293" s="267" t="s">
        <v>956</v>
      </c>
      <c r="B293" s="380" t="s">
        <v>49</v>
      </c>
      <c r="C293" s="488" t="s">
        <v>63</v>
      </c>
      <c r="D293" s="380" t="s">
        <v>20</v>
      </c>
      <c r="E293" s="265" t="s">
        <v>957</v>
      </c>
      <c r="F293" s="497" t="s">
        <v>9</v>
      </c>
      <c r="G293" s="283">
        <f t="shared" ref="G293:S293" si="127">G294</f>
        <v>0</v>
      </c>
      <c r="H293" s="283">
        <f t="shared" si="127"/>
        <v>0</v>
      </c>
      <c r="I293" s="283">
        <f t="shared" si="127"/>
        <v>0</v>
      </c>
      <c r="J293" s="283">
        <f t="shared" si="127"/>
        <v>0</v>
      </c>
      <c r="K293" s="283">
        <f t="shared" si="127"/>
        <v>0</v>
      </c>
      <c r="L293" s="283">
        <f t="shared" si="127"/>
        <v>0</v>
      </c>
      <c r="M293" s="568">
        <f t="shared" si="127"/>
        <v>0</v>
      </c>
      <c r="N293" s="568">
        <f t="shared" si="127"/>
        <v>0</v>
      </c>
      <c r="O293" s="569">
        <f t="shared" si="127"/>
        <v>0</v>
      </c>
      <c r="P293" s="569">
        <f t="shared" si="127"/>
        <v>0</v>
      </c>
      <c r="Q293" s="569">
        <f t="shared" si="127"/>
        <v>0</v>
      </c>
      <c r="R293" s="569">
        <f t="shared" si="127"/>
        <v>0</v>
      </c>
      <c r="S293" s="132">
        <f t="shared" si="127"/>
        <v>0</v>
      </c>
    </row>
    <row r="294" spans="1:19" s="77" customFormat="1" ht="15.6" hidden="1" x14ac:dyDescent="0.3">
      <c r="A294" s="264" t="s">
        <v>123</v>
      </c>
      <c r="B294" s="380" t="s">
        <v>49</v>
      </c>
      <c r="C294" s="488" t="s">
        <v>63</v>
      </c>
      <c r="D294" s="380" t="s">
        <v>20</v>
      </c>
      <c r="E294" s="265" t="s">
        <v>957</v>
      </c>
      <c r="F294" s="380" t="s">
        <v>119</v>
      </c>
      <c r="G294" s="282"/>
      <c r="H294" s="282"/>
      <c r="I294" s="265"/>
      <c r="J294" s="265"/>
      <c r="K294" s="265"/>
      <c r="L294" s="265"/>
      <c r="M294" s="570"/>
      <c r="N294" s="570"/>
      <c r="O294" s="571"/>
      <c r="P294" s="571"/>
      <c r="Q294" s="571"/>
      <c r="R294" s="571"/>
      <c r="S294" s="131">
        <f t="shared" ref="S294:S357" si="128">G294+H294+I294+J294+K294+L294+M294+N294+O294+P294+Q294+R294</f>
        <v>0</v>
      </c>
    </row>
    <row r="295" spans="1:19" s="80" customFormat="1" ht="47.25" x14ac:dyDescent="0.25">
      <c r="A295" s="267" t="s">
        <v>208</v>
      </c>
      <c r="B295" s="497" t="s">
        <v>49</v>
      </c>
      <c r="C295" s="496" t="s">
        <v>63</v>
      </c>
      <c r="D295" s="497" t="s">
        <v>20</v>
      </c>
      <c r="E295" s="285" t="s">
        <v>402</v>
      </c>
      <c r="F295" s="497" t="s">
        <v>9</v>
      </c>
      <c r="G295" s="283">
        <f t="shared" ref="G295:M295" si="129">G298+G296</f>
        <v>0</v>
      </c>
      <c r="H295" s="283">
        <f t="shared" si="129"/>
        <v>40524.5</v>
      </c>
      <c r="I295" s="283">
        <f t="shared" si="129"/>
        <v>0</v>
      </c>
      <c r="J295" s="283">
        <f t="shared" si="129"/>
        <v>239.6</v>
      </c>
      <c r="K295" s="283">
        <f t="shared" si="129"/>
        <v>2130.9</v>
      </c>
      <c r="L295" s="283">
        <f t="shared" si="129"/>
        <v>220</v>
      </c>
      <c r="M295" s="568">
        <f t="shared" si="129"/>
        <v>30</v>
      </c>
      <c r="N295" s="568">
        <f>N298+N296+N300</f>
        <v>370</v>
      </c>
      <c r="O295" s="569">
        <f>O298+O296+O300</f>
        <v>0</v>
      </c>
      <c r="P295" s="569">
        <f>P298+P296+P300</f>
        <v>0</v>
      </c>
      <c r="Q295" s="569">
        <f>Q298+Q296+Q300</f>
        <v>0</v>
      </c>
      <c r="R295" s="569">
        <f>R298+R296+R300</f>
        <v>0</v>
      </c>
      <c r="S295" s="132">
        <f t="shared" si="128"/>
        <v>43515</v>
      </c>
    </row>
    <row r="296" spans="1:19" s="80" customFormat="1" ht="15.6" hidden="1" x14ac:dyDescent="0.3">
      <c r="A296" s="267" t="s">
        <v>821</v>
      </c>
      <c r="B296" s="497" t="s">
        <v>49</v>
      </c>
      <c r="C296" s="496" t="s">
        <v>63</v>
      </c>
      <c r="D296" s="497" t="s">
        <v>20</v>
      </c>
      <c r="E296" s="285" t="s">
        <v>520</v>
      </c>
      <c r="F296" s="497" t="s">
        <v>9</v>
      </c>
      <c r="G296" s="283">
        <f t="shared" ref="G296:R296" si="130">G297</f>
        <v>0</v>
      </c>
      <c r="H296" s="283">
        <f t="shared" si="130"/>
        <v>0</v>
      </c>
      <c r="I296" s="283">
        <f t="shared" si="130"/>
        <v>0</v>
      </c>
      <c r="J296" s="283">
        <f t="shared" si="130"/>
        <v>0</v>
      </c>
      <c r="K296" s="283">
        <f t="shared" si="130"/>
        <v>0</v>
      </c>
      <c r="L296" s="283">
        <f t="shared" si="130"/>
        <v>0</v>
      </c>
      <c r="M296" s="568">
        <f t="shared" si="130"/>
        <v>0</v>
      </c>
      <c r="N296" s="568">
        <f t="shared" si="130"/>
        <v>0</v>
      </c>
      <c r="O296" s="569">
        <f t="shared" si="130"/>
        <v>0</v>
      </c>
      <c r="P296" s="569">
        <f t="shared" si="130"/>
        <v>0</v>
      </c>
      <c r="Q296" s="569">
        <f t="shared" si="130"/>
        <v>0</v>
      </c>
      <c r="R296" s="569">
        <f t="shared" si="130"/>
        <v>0</v>
      </c>
      <c r="S296" s="132">
        <f t="shared" si="128"/>
        <v>0</v>
      </c>
    </row>
    <row r="297" spans="1:19" s="77" customFormat="1" ht="15.6" hidden="1" x14ac:dyDescent="0.3">
      <c r="A297" s="264" t="s">
        <v>123</v>
      </c>
      <c r="B297" s="380" t="s">
        <v>49</v>
      </c>
      <c r="C297" s="488" t="s">
        <v>63</v>
      </c>
      <c r="D297" s="380" t="s">
        <v>20</v>
      </c>
      <c r="E297" s="265" t="s">
        <v>520</v>
      </c>
      <c r="F297" s="380" t="s">
        <v>119</v>
      </c>
      <c r="G297" s="282"/>
      <c r="H297" s="282"/>
      <c r="I297" s="265"/>
      <c r="J297" s="282"/>
      <c r="K297" s="265"/>
      <c r="L297" s="265"/>
      <c r="M297" s="570"/>
      <c r="N297" s="570"/>
      <c r="O297" s="571"/>
      <c r="P297" s="571"/>
      <c r="Q297" s="571"/>
      <c r="R297" s="571"/>
      <c r="S297" s="131">
        <f t="shared" si="128"/>
        <v>0</v>
      </c>
    </row>
    <row r="298" spans="1:19" s="80" customFormat="1" x14ac:dyDescent="0.25">
      <c r="A298" s="267" t="s">
        <v>66</v>
      </c>
      <c r="B298" s="497" t="s">
        <v>49</v>
      </c>
      <c r="C298" s="496" t="s">
        <v>63</v>
      </c>
      <c r="D298" s="497" t="s">
        <v>20</v>
      </c>
      <c r="E298" s="285" t="s">
        <v>403</v>
      </c>
      <c r="F298" s="497" t="s">
        <v>9</v>
      </c>
      <c r="G298" s="283">
        <f t="shared" ref="G298:R298" si="131">G299</f>
        <v>0</v>
      </c>
      <c r="H298" s="283">
        <f t="shared" si="131"/>
        <v>40524.5</v>
      </c>
      <c r="I298" s="283">
        <f t="shared" si="131"/>
        <v>0</v>
      </c>
      <c r="J298" s="283">
        <f t="shared" si="131"/>
        <v>239.6</v>
      </c>
      <c r="K298" s="283">
        <f t="shared" si="131"/>
        <v>2130.9</v>
      </c>
      <c r="L298" s="283">
        <f t="shared" si="131"/>
        <v>220</v>
      </c>
      <c r="M298" s="568">
        <f t="shared" si="131"/>
        <v>30</v>
      </c>
      <c r="N298" s="568">
        <f t="shared" si="131"/>
        <v>370</v>
      </c>
      <c r="O298" s="569">
        <f t="shared" si="131"/>
        <v>0</v>
      </c>
      <c r="P298" s="569">
        <f t="shared" si="131"/>
        <v>0</v>
      </c>
      <c r="Q298" s="569">
        <f t="shared" si="131"/>
        <v>0</v>
      </c>
      <c r="R298" s="569">
        <f t="shared" si="131"/>
        <v>0</v>
      </c>
      <c r="S298" s="132">
        <f t="shared" si="128"/>
        <v>43515</v>
      </c>
    </row>
    <row r="299" spans="1:19" s="77" customFormat="1" x14ac:dyDescent="0.25">
      <c r="A299" s="264" t="s">
        <v>123</v>
      </c>
      <c r="B299" s="380" t="s">
        <v>49</v>
      </c>
      <c r="C299" s="488" t="s">
        <v>63</v>
      </c>
      <c r="D299" s="380" t="s">
        <v>20</v>
      </c>
      <c r="E299" s="265" t="s">
        <v>403</v>
      </c>
      <c r="F299" s="380" t="s">
        <v>119</v>
      </c>
      <c r="G299" s="282"/>
      <c r="H299" s="282">
        <v>40524.5</v>
      </c>
      <c r="I299" s="265"/>
      <c r="J299" s="418">
        <f>118.6+103+18</f>
        <v>239.6</v>
      </c>
      <c r="K299" s="419">
        <v>2130.9</v>
      </c>
      <c r="L299" s="265">
        <f>20+200</f>
        <v>220</v>
      </c>
      <c r="M299" s="570">
        <v>30</v>
      </c>
      <c r="N299" s="570">
        <v>370</v>
      </c>
      <c r="O299" s="571"/>
      <c r="P299" s="571"/>
      <c r="Q299" s="571"/>
      <c r="R299" s="571"/>
      <c r="S299" s="566">
        <f t="shared" si="128"/>
        <v>43515</v>
      </c>
    </row>
    <row r="300" spans="1:19" s="77" customFormat="1" ht="46.9" hidden="1" x14ac:dyDescent="0.3">
      <c r="A300" s="267" t="s">
        <v>1046</v>
      </c>
      <c r="B300" s="497" t="s">
        <v>49</v>
      </c>
      <c r="C300" s="496" t="s">
        <v>63</v>
      </c>
      <c r="D300" s="497" t="s">
        <v>20</v>
      </c>
      <c r="E300" s="285" t="s">
        <v>1047</v>
      </c>
      <c r="F300" s="497" t="s">
        <v>9</v>
      </c>
      <c r="G300" s="282"/>
      <c r="H300" s="282"/>
      <c r="I300" s="265"/>
      <c r="J300" s="265"/>
      <c r="K300" s="265"/>
      <c r="L300" s="265"/>
      <c r="M300" s="570"/>
      <c r="N300" s="570">
        <f>N301</f>
        <v>0</v>
      </c>
      <c r="O300" s="573"/>
      <c r="P300" s="574">
        <f>P301</f>
        <v>0</v>
      </c>
      <c r="Q300" s="573"/>
      <c r="R300" s="573"/>
      <c r="S300" s="131">
        <f t="shared" si="128"/>
        <v>0</v>
      </c>
    </row>
    <row r="301" spans="1:19" s="77" customFormat="1" ht="15.6" hidden="1" x14ac:dyDescent="0.3">
      <c r="A301" s="264" t="s">
        <v>123</v>
      </c>
      <c r="B301" s="380" t="s">
        <v>49</v>
      </c>
      <c r="C301" s="488" t="s">
        <v>63</v>
      </c>
      <c r="D301" s="380" t="s">
        <v>20</v>
      </c>
      <c r="E301" s="265" t="s">
        <v>1047</v>
      </c>
      <c r="F301" s="380" t="s">
        <v>119</v>
      </c>
      <c r="G301" s="282"/>
      <c r="H301" s="282"/>
      <c r="I301" s="265"/>
      <c r="J301" s="265"/>
      <c r="K301" s="265"/>
      <c r="L301" s="265"/>
      <c r="M301" s="570"/>
      <c r="N301" s="570"/>
      <c r="O301" s="571"/>
      <c r="P301" s="571"/>
      <c r="Q301" s="571"/>
      <c r="R301" s="571"/>
      <c r="S301" s="131">
        <f t="shared" si="128"/>
        <v>0</v>
      </c>
    </row>
    <row r="302" spans="1:19" s="80" customFormat="1" ht="31.15" hidden="1" x14ac:dyDescent="0.3">
      <c r="A302" s="267" t="s">
        <v>958</v>
      </c>
      <c r="B302" s="497" t="s">
        <v>49</v>
      </c>
      <c r="C302" s="496" t="s">
        <v>63</v>
      </c>
      <c r="D302" s="497" t="s">
        <v>20</v>
      </c>
      <c r="E302" s="285" t="s">
        <v>959</v>
      </c>
      <c r="F302" s="497" t="s">
        <v>9</v>
      </c>
      <c r="G302" s="283">
        <f t="shared" ref="G302:R302" si="132">G303</f>
        <v>0</v>
      </c>
      <c r="H302" s="283">
        <f t="shared" si="132"/>
        <v>0</v>
      </c>
      <c r="I302" s="283">
        <f t="shared" si="132"/>
        <v>0</v>
      </c>
      <c r="J302" s="283">
        <f t="shared" si="132"/>
        <v>0</v>
      </c>
      <c r="K302" s="283">
        <f t="shared" si="132"/>
        <v>0</v>
      </c>
      <c r="L302" s="283">
        <f t="shared" si="132"/>
        <v>0</v>
      </c>
      <c r="M302" s="568">
        <f t="shared" si="132"/>
        <v>0</v>
      </c>
      <c r="N302" s="568">
        <f t="shared" si="132"/>
        <v>0</v>
      </c>
      <c r="O302" s="569">
        <f t="shared" si="132"/>
        <v>0</v>
      </c>
      <c r="P302" s="569">
        <f t="shared" si="132"/>
        <v>0</v>
      </c>
      <c r="Q302" s="569">
        <f t="shared" si="132"/>
        <v>0</v>
      </c>
      <c r="R302" s="569">
        <f t="shared" si="132"/>
        <v>0</v>
      </c>
      <c r="S302" s="131">
        <f t="shared" si="128"/>
        <v>0</v>
      </c>
    </row>
    <row r="303" spans="1:19" s="80" customFormat="1" ht="31.15" hidden="1" x14ac:dyDescent="0.3">
      <c r="A303" s="267" t="s">
        <v>960</v>
      </c>
      <c r="B303" s="497" t="s">
        <v>49</v>
      </c>
      <c r="C303" s="496" t="s">
        <v>63</v>
      </c>
      <c r="D303" s="497" t="s">
        <v>20</v>
      </c>
      <c r="E303" s="285" t="s">
        <v>961</v>
      </c>
      <c r="F303" s="497" t="s">
        <v>9</v>
      </c>
      <c r="G303" s="283">
        <f t="shared" ref="G303:R303" si="133">G304+G306</f>
        <v>0</v>
      </c>
      <c r="H303" s="283">
        <f t="shared" si="133"/>
        <v>0</v>
      </c>
      <c r="I303" s="283">
        <f t="shared" si="133"/>
        <v>0</v>
      </c>
      <c r="J303" s="283">
        <f t="shared" si="133"/>
        <v>0</v>
      </c>
      <c r="K303" s="283">
        <f t="shared" si="133"/>
        <v>0</v>
      </c>
      <c r="L303" s="283">
        <f t="shared" si="133"/>
        <v>0</v>
      </c>
      <c r="M303" s="568">
        <f t="shared" si="133"/>
        <v>0</v>
      </c>
      <c r="N303" s="568">
        <f t="shared" si="133"/>
        <v>0</v>
      </c>
      <c r="O303" s="569">
        <f t="shared" si="133"/>
        <v>0</v>
      </c>
      <c r="P303" s="569">
        <f t="shared" si="133"/>
        <v>0</v>
      </c>
      <c r="Q303" s="569">
        <f t="shared" si="133"/>
        <v>0</v>
      </c>
      <c r="R303" s="569">
        <f t="shared" si="133"/>
        <v>0</v>
      </c>
      <c r="S303" s="131">
        <f t="shared" si="128"/>
        <v>0</v>
      </c>
    </row>
    <row r="304" spans="1:19" s="77" customFormat="1" ht="46.9" hidden="1" x14ac:dyDescent="0.3">
      <c r="A304" s="267" t="s">
        <v>962</v>
      </c>
      <c r="B304" s="497" t="s">
        <v>49</v>
      </c>
      <c r="C304" s="496" t="s">
        <v>63</v>
      </c>
      <c r="D304" s="497" t="s">
        <v>20</v>
      </c>
      <c r="E304" s="285" t="s">
        <v>963</v>
      </c>
      <c r="F304" s="497" t="s">
        <v>9</v>
      </c>
      <c r="G304" s="283">
        <f t="shared" ref="G304:R304" si="134">G305</f>
        <v>0</v>
      </c>
      <c r="H304" s="283">
        <f t="shared" si="134"/>
        <v>0</v>
      </c>
      <c r="I304" s="283">
        <f t="shared" si="134"/>
        <v>0</v>
      </c>
      <c r="J304" s="283">
        <f t="shared" si="134"/>
        <v>0</v>
      </c>
      <c r="K304" s="283">
        <f t="shared" si="134"/>
        <v>0</v>
      </c>
      <c r="L304" s="283">
        <f t="shared" si="134"/>
        <v>0</v>
      </c>
      <c r="M304" s="568">
        <f t="shared" si="134"/>
        <v>0</v>
      </c>
      <c r="N304" s="568">
        <f t="shared" si="134"/>
        <v>0</v>
      </c>
      <c r="O304" s="569">
        <f t="shared" si="134"/>
        <v>0</v>
      </c>
      <c r="P304" s="569">
        <f t="shared" si="134"/>
        <v>0</v>
      </c>
      <c r="Q304" s="569">
        <f t="shared" si="134"/>
        <v>0</v>
      </c>
      <c r="R304" s="569">
        <f t="shared" si="134"/>
        <v>0</v>
      </c>
      <c r="S304" s="131">
        <f t="shared" si="128"/>
        <v>0</v>
      </c>
    </row>
    <row r="305" spans="1:19" s="77" customFormat="1" ht="15.6" hidden="1" x14ac:dyDescent="0.3">
      <c r="A305" s="264" t="s">
        <v>123</v>
      </c>
      <c r="B305" s="380" t="s">
        <v>49</v>
      </c>
      <c r="C305" s="488" t="s">
        <v>63</v>
      </c>
      <c r="D305" s="380" t="s">
        <v>20</v>
      </c>
      <c r="E305" s="265" t="s">
        <v>963</v>
      </c>
      <c r="F305" s="380" t="s">
        <v>119</v>
      </c>
      <c r="G305" s="282"/>
      <c r="H305" s="282"/>
      <c r="I305" s="265"/>
      <c r="J305" s="265"/>
      <c r="K305" s="265"/>
      <c r="L305" s="265"/>
      <c r="M305" s="570"/>
      <c r="N305" s="570"/>
      <c r="O305" s="571"/>
      <c r="P305" s="571"/>
      <c r="Q305" s="571"/>
      <c r="R305" s="571"/>
      <c r="S305" s="131">
        <f t="shared" si="128"/>
        <v>0</v>
      </c>
    </row>
    <row r="306" spans="1:19" s="77" customFormat="1" ht="31.15" hidden="1" x14ac:dyDescent="0.3">
      <c r="A306" s="267" t="s">
        <v>964</v>
      </c>
      <c r="B306" s="497" t="s">
        <v>49</v>
      </c>
      <c r="C306" s="496" t="s">
        <v>63</v>
      </c>
      <c r="D306" s="497" t="s">
        <v>20</v>
      </c>
      <c r="E306" s="285" t="s">
        <v>965</v>
      </c>
      <c r="F306" s="497" t="s">
        <v>9</v>
      </c>
      <c r="G306" s="283">
        <f t="shared" ref="G306:R306" si="135">G307</f>
        <v>0</v>
      </c>
      <c r="H306" s="283">
        <f t="shared" si="135"/>
        <v>0</v>
      </c>
      <c r="I306" s="283">
        <f t="shared" si="135"/>
        <v>0</v>
      </c>
      <c r="J306" s="283">
        <f t="shared" si="135"/>
        <v>0</v>
      </c>
      <c r="K306" s="283">
        <f t="shared" si="135"/>
        <v>0</v>
      </c>
      <c r="L306" s="283">
        <f t="shared" si="135"/>
        <v>0</v>
      </c>
      <c r="M306" s="568">
        <f t="shared" si="135"/>
        <v>0</v>
      </c>
      <c r="N306" s="568">
        <f t="shared" si="135"/>
        <v>0</v>
      </c>
      <c r="O306" s="569">
        <f t="shared" si="135"/>
        <v>0</v>
      </c>
      <c r="P306" s="569">
        <f t="shared" si="135"/>
        <v>0</v>
      </c>
      <c r="Q306" s="569">
        <f t="shared" si="135"/>
        <v>0</v>
      </c>
      <c r="R306" s="569">
        <f t="shared" si="135"/>
        <v>0</v>
      </c>
      <c r="S306" s="131">
        <f t="shared" si="128"/>
        <v>0</v>
      </c>
    </row>
    <row r="307" spans="1:19" s="77" customFormat="1" ht="15.6" hidden="1" x14ac:dyDescent="0.3">
      <c r="A307" s="264" t="s">
        <v>123</v>
      </c>
      <c r="B307" s="380" t="s">
        <v>49</v>
      </c>
      <c r="C307" s="488" t="s">
        <v>63</v>
      </c>
      <c r="D307" s="380" t="s">
        <v>20</v>
      </c>
      <c r="E307" s="265" t="s">
        <v>965</v>
      </c>
      <c r="F307" s="380" t="s">
        <v>119</v>
      </c>
      <c r="G307" s="282"/>
      <c r="H307" s="282"/>
      <c r="I307" s="265"/>
      <c r="J307" s="265"/>
      <c r="K307" s="265"/>
      <c r="L307" s="265"/>
      <c r="M307" s="570"/>
      <c r="N307" s="570"/>
      <c r="O307" s="571"/>
      <c r="P307" s="571"/>
      <c r="Q307" s="571"/>
      <c r="R307" s="571"/>
      <c r="S307" s="131">
        <f t="shared" si="128"/>
        <v>0</v>
      </c>
    </row>
    <row r="308" spans="1:19" s="80" customFormat="1" ht="31.15" hidden="1" x14ac:dyDescent="0.3">
      <c r="A308" s="267" t="s">
        <v>784</v>
      </c>
      <c r="B308" s="497" t="s">
        <v>49</v>
      </c>
      <c r="C308" s="496" t="s">
        <v>63</v>
      </c>
      <c r="D308" s="497" t="s">
        <v>20</v>
      </c>
      <c r="E308" s="285" t="s">
        <v>380</v>
      </c>
      <c r="F308" s="497" t="s">
        <v>9</v>
      </c>
      <c r="G308" s="283">
        <f t="shared" ref="G308:R309" si="136">G309</f>
        <v>0</v>
      </c>
      <c r="H308" s="283">
        <f t="shared" si="136"/>
        <v>0</v>
      </c>
      <c r="I308" s="283">
        <f t="shared" si="136"/>
        <v>0</v>
      </c>
      <c r="J308" s="283">
        <f t="shared" si="136"/>
        <v>0</v>
      </c>
      <c r="K308" s="283">
        <f t="shared" si="136"/>
        <v>0</v>
      </c>
      <c r="L308" s="283">
        <f t="shared" si="136"/>
        <v>0</v>
      </c>
      <c r="M308" s="568">
        <f t="shared" si="136"/>
        <v>0</v>
      </c>
      <c r="N308" s="568">
        <f t="shared" si="136"/>
        <v>0</v>
      </c>
      <c r="O308" s="569">
        <f t="shared" si="136"/>
        <v>0</v>
      </c>
      <c r="P308" s="569">
        <f t="shared" si="136"/>
        <v>0</v>
      </c>
      <c r="Q308" s="569">
        <f t="shared" si="136"/>
        <v>0</v>
      </c>
      <c r="R308" s="569">
        <f t="shared" si="136"/>
        <v>0</v>
      </c>
      <c r="S308" s="132">
        <f t="shared" si="128"/>
        <v>0</v>
      </c>
    </row>
    <row r="309" spans="1:19" s="80" customFormat="1" ht="31.15" hidden="1" x14ac:dyDescent="0.3">
      <c r="A309" s="267" t="s">
        <v>68</v>
      </c>
      <c r="B309" s="497" t="s">
        <v>49</v>
      </c>
      <c r="C309" s="496" t="s">
        <v>63</v>
      </c>
      <c r="D309" s="497" t="s">
        <v>20</v>
      </c>
      <c r="E309" s="285" t="s">
        <v>404</v>
      </c>
      <c r="F309" s="497" t="s">
        <v>9</v>
      </c>
      <c r="G309" s="283">
        <f t="shared" si="136"/>
        <v>0</v>
      </c>
      <c r="H309" s="283">
        <f t="shared" si="136"/>
        <v>0</v>
      </c>
      <c r="I309" s="283">
        <f t="shared" si="136"/>
        <v>0</v>
      </c>
      <c r="J309" s="283">
        <f t="shared" si="136"/>
        <v>0</v>
      </c>
      <c r="K309" s="283">
        <f t="shared" si="136"/>
        <v>0</v>
      </c>
      <c r="L309" s="283">
        <f t="shared" si="136"/>
        <v>0</v>
      </c>
      <c r="M309" s="568">
        <f t="shared" si="136"/>
        <v>0</v>
      </c>
      <c r="N309" s="568">
        <f t="shared" si="136"/>
        <v>0</v>
      </c>
      <c r="O309" s="569">
        <f t="shared" si="136"/>
        <v>0</v>
      </c>
      <c r="P309" s="569">
        <f t="shared" si="136"/>
        <v>0</v>
      </c>
      <c r="Q309" s="569">
        <f t="shared" si="136"/>
        <v>0</v>
      </c>
      <c r="R309" s="569">
        <f t="shared" si="136"/>
        <v>0</v>
      </c>
      <c r="S309" s="132">
        <f t="shared" si="128"/>
        <v>0</v>
      </c>
    </row>
    <row r="310" spans="1:19" s="77" customFormat="1" ht="15.6" hidden="1" x14ac:dyDescent="0.3">
      <c r="A310" s="264" t="s">
        <v>123</v>
      </c>
      <c r="B310" s="380" t="s">
        <v>49</v>
      </c>
      <c r="C310" s="488" t="s">
        <v>63</v>
      </c>
      <c r="D310" s="380" t="s">
        <v>20</v>
      </c>
      <c r="E310" s="265" t="s">
        <v>404</v>
      </c>
      <c r="F310" s="380" t="s">
        <v>119</v>
      </c>
      <c r="G310" s="282"/>
      <c r="H310" s="282"/>
      <c r="I310" s="265"/>
      <c r="J310" s="265"/>
      <c r="K310" s="265"/>
      <c r="L310" s="265"/>
      <c r="M310" s="570"/>
      <c r="N310" s="570"/>
      <c r="O310" s="571"/>
      <c r="P310" s="571"/>
      <c r="Q310" s="571"/>
      <c r="R310" s="571"/>
      <c r="S310" s="131">
        <f t="shared" si="128"/>
        <v>0</v>
      </c>
    </row>
    <row r="311" spans="1:19" s="77" customFormat="1" ht="31.5" x14ac:dyDescent="0.25">
      <c r="A311" s="264" t="s">
        <v>69</v>
      </c>
      <c r="B311" s="380" t="s">
        <v>70</v>
      </c>
      <c r="C311" s="488" t="s">
        <v>10</v>
      </c>
      <c r="D311" s="380" t="s">
        <v>10</v>
      </c>
      <c r="E311" s="265" t="s">
        <v>365</v>
      </c>
      <c r="F311" s="380" t="s">
        <v>9</v>
      </c>
      <c r="G311" s="282">
        <f t="shared" ref="G311:R311" si="137">G312+G334+G346+G366+G358</f>
        <v>0</v>
      </c>
      <c r="H311" s="282">
        <f t="shared" si="137"/>
        <v>3989.9</v>
      </c>
      <c r="I311" s="282">
        <f t="shared" si="137"/>
        <v>4.5541600000000004</v>
      </c>
      <c r="J311" s="282">
        <f t="shared" si="137"/>
        <v>0</v>
      </c>
      <c r="K311" s="282">
        <f t="shared" si="137"/>
        <v>35.200000000000003</v>
      </c>
      <c r="L311" s="282">
        <f t="shared" si="137"/>
        <v>0</v>
      </c>
      <c r="M311" s="566">
        <f t="shared" si="137"/>
        <v>13.1</v>
      </c>
      <c r="N311" s="566">
        <f t="shared" si="137"/>
        <v>23.1</v>
      </c>
      <c r="O311" s="567">
        <f t="shared" si="137"/>
        <v>0</v>
      </c>
      <c r="P311" s="567">
        <f t="shared" si="137"/>
        <v>0</v>
      </c>
      <c r="Q311" s="567">
        <f t="shared" si="137"/>
        <v>0</v>
      </c>
      <c r="R311" s="567">
        <f t="shared" si="137"/>
        <v>0</v>
      </c>
      <c r="S311" s="131">
        <f t="shared" si="128"/>
        <v>4065.8541599999999</v>
      </c>
    </row>
    <row r="312" spans="1:19" s="77" customFormat="1" x14ac:dyDescent="0.25">
      <c r="A312" s="264" t="s">
        <v>23</v>
      </c>
      <c r="B312" s="380" t="s">
        <v>70</v>
      </c>
      <c r="C312" s="488" t="s">
        <v>14</v>
      </c>
      <c r="D312" s="380" t="s">
        <v>10</v>
      </c>
      <c r="E312" s="265" t="s">
        <v>365</v>
      </c>
      <c r="F312" s="380" t="s">
        <v>9</v>
      </c>
      <c r="G312" s="282">
        <f t="shared" ref="G312:R312" si="138">G313+G323</f>
        <v>0</v>
      </c>
      <c r="H312" s="282">
        <f t="shared" si="138"/>
        <v>3989.9</v>
      </c>
      <c r="I312" s="282">
        <f t="shared" si="138"/>
        <v>4.5541600000000004</v>
      </c>
      <c r="J312" s="282">
        <f t="shared" si="138"/>
        <v>0</v>
      </c>
      <c r="K312" s="282">
        <f t="shared" si="138"/>
        <v>35.200000000000003</v>
      </c>
      <c r="L312" s="282">
        <f t="shared" si="138"/>
        <v>0</v>
      </c>
      <c r="M312" s="566">
        <f t="shared" si="138"/>
        <v>13.1</v>
      </c>
      <c r="N312" s="566">
        <f t="shared" si="138"/>
        <v>0</v>
      </c>
      <c r="O312" s="567">
        <f t="shared" si="138"/>
        <v>0</v>
      </c>
      <c r="P312" s="567">
        <f t="shared" si="138"/>
        <v>0</v>
      </c>
      <c r="Q312" s="567">
        <f t="shared" si="138"/>
        <v>0</v>
      </c>
      <c r="R312" s="567">
        <f t="shared" si="138"/>
        <v>0</v>
      </c>
      <c r="S312" s="131">
        <f t="shared" si="128"/>
        <v>4042.75416</v>
      </c>
    </row>
    <row r="313" spans="1:19" s="80" customFormat="1" ht="47.25" x14ac:dyDescent="0.25">
      <c r="A313" s="267" t="s">
        <v>24</v>
      </c>
      <c r="B313" s="497" t="s">
        <v>70</v>
      </c>
      <c r="C313" s="496" t="s">
        <v>14</v>
      </c>
      <c r="D313" s="497" t="s">
        <v>25</v>
      </c>
      <c r="E313" s="285" t="s">
        <v>365</v>
      </c>
      <c r="F313" s="497" t="s">
        <v>9</v>
      </c>
      <c r="G313" s="283">
        <f t="shared" ref="G313:R313" si="139">G314</f>
        <v>0</v>
      </c>
      <c r="H313" s="283">
        <f t="shared" si="139"/>
        <v>3290.5</v>
      </c>
      <c r="I313" s="283">
        <f t="shared" si="139"/>
        <v>0</v>
      </c>
      <c r="J313" s="283">
        <f t="shared" si="139"/>
        <v>0</v>
      </c>
      <c r="K313" s="283">
        <f t="shared" si="139"/>
        <v>0</v>
      </c>
      <c r="L313" s="283">
        <f t="shared" si="139"/>
        <v>0</v>
      </c>
      <c r="M313" s="568">
        <f t="shared" si="139"/>
        <v>0</v>
      </c>
      <c r="N313" s="568">
        <f t="shared" si="139"/>
        <v>0</v>
      </c>
      <c r="O313" s="569">
        <f t="shared" si="139"/>
        <v>0</v>
      </c>
      <c r="P313" s="569">
        <f t="shared" si="139"/>
        <v>0</v>
      </c>
      <c r="Q313" s="569">
        <f t="shared" si="139"/>
        <v>0</v>
      </c>
      <c r="R313" s="569">
        <f t="shared" si="139"/>
        <v>0</v>
      </c>
      <c r="S313" s="132">
        <f t="shared" si="128"/>
        <v>3290.5</v>
      </c>
    </row>
    <row r="314" spans="1:19" s="80" customFormat="1" ht="31.5" x14ac:dyDescent="0.25">
      <c r="A314" s="267" t="s">
        <v>786</v>
      </c>
      <c r="B314" s="497" t="s">
        <v>70</v>
      </c>
      <c r="C314" s="496" t="s">
        <v>14</v>
      </c>
      <c r="D314" s="497" t="s">
        <v>25</v>
      </c>
      <c r="E314" s="285" t="s">
        <v>405</v>
      </c>
      <c r="F314" s="497" t="s">
        <v>9</v>
      </c>
      <c r="G314" s="283">
        <f t="shared" ref="G314:R314" si="140">G315+G318</f>
        <v>0</v>
      </c>
      <c r="H314" s="283">
        <f t="shared" si="140"/>
        <v>3290.5</v>
      </c>
      <c r="I314" s="283">
        <f t="shared" si="140"/>
        <v>0</v>
      </c>
      <c r="J314" s="283">
        <f t="shared" si="140"/>
        <v>0</v>
      </c>
      <c r="K314" s="283">
        <f t="shared" si="140"/>
        <v>0</v>
      </c>
      <c r="L314" s="283">
        <f t="shared" si="140"/>
        <v>0</v>
      </c>
      <c r="M314" s="568">
        <f t="shared" si="140"/>
        <v>0</v>
      </c>
      <c r="N314" s="568">
        <f t="shared" si="140"/>
        <v>0</v>
      </c>
      <c r="O314" s="569">
        <f t="shared" si="140"/>
        <v>0</v>
      </c>
      <c r="P314" s="569">
        <f t="shared" si="140"/>
        <v>0</v>
      </c>
      <c r="Q314" s="569">
        <f t="shared" si="140"/>
        <v>0</v>
      </c>
      <c r="R314" s="569">
        <f t="shared" si="140"/>
        <v>0</v>
      </c>
      <c r="S314" s="132">
        <f t="shared" si="128"/>
        <v>3290.5</v>
      </c>
    </row>
    <row r="315" spans="1:19" s="80" customFormat="1" x14ac:dyDescent="0.25">
      <c r="A315" s="267" t="s">
        <v>127</v>
      </c>
      <c r="B315" s="497" t="s">
        <v>70</v>
      </c>
      <c r="C315" s="496" t="s">
        <v>14</v>
      </c>
      <c r="D315" s="497" t="s">
        <v>25</v>
      </c>
      <c r="E315" s="285" t="s">
        <v>406</v>
      </c>
      <c r="F315" s="497" t="s">
        <v>9</v>
      </c>
      <c r="G315" s="283">
        <f t="shared" ref="G315:R316" si="141">G316</f>
        <v>0</v>
      </c>
      <c r="H315" s="283">
        <f t="shared" si="141"/>
        <v>310</v>
      </c>
      <c r="I315" s="283">
        <f t="shared" si="141"/>
        <v>0</v>
      </c>
      <c r="J315" s="283">
        <f t="shared" si="141"/>
        <v>0</v>
      </c>
      <c r="K315" s="283">
        <f t="shared" si="141"/>
        <v>0</v>
      </c>
      <c r="L315" s="283">
        <f t="shared" si="141"/>
        <v>0</v>
      </c>
      <c r="M315" s="568">
        <f t="shared" si="141"/>
        <v>0</v>
      </c>
      <c r="N315" s="568">
        <f t="shared" si="141"/>
        <v>0</v>
      </c>
      <c r="O315" s="569">
        <f t="shared" si="141"/>
        <v>0</v>
      </c>
      <c r="P315" s="569">
        <f t="shared" si="141"/>
        <v>0</v>
      </c>
      <c r="Q315" s="569">
        <f t="shared" si="141"/>
        <v>0</v>
      </c>
      <c r="R315" s="569">
        <f t="shared" si="141"/>
        <v>0</v>
      </c>
      <c r="S315" s="132">
        <f t="shared" si="128"/>
        <v>310</v>
      </c>
    </row>
    <row r="316" spans="1:19" s="80" customFormat="1" ht="31.5" x14ac:dyDescent="0.25">
      <c r="A316" s="267" t="s">
        <v>16</v>
      </c>
      <c r="B316" s="497" t="s">
        <v>70</v>
      </c>
      <c r="C316" s="496" t="s">
        <v>14</v>
      </c>
      <c r="D316" s="497" t="s">
        <v>25</v>
      </c>
      <c r="E316" s="285" t="s">
        <v>407</v>
      </c>
      <c r="F316" s="497" t="s">
        <v>9</v>
      </c>
      <c r="G316" s="283">
        <f t="shared" si="141"/>
        <v>0</v>
      </c>
      <c r="H316" s="283">
        <f t="shared" si="141"/>
        <v>310</v>
      </c>
      <c r="I316" s="283">
        <f t="shared" si="141"/>
        <v>0</v>
      </c>
      <c r="J316" s="283">
        <f t="shared" si="141"/>
        <v>0</v>
      </c>
      <c r="K316" s="283">
        <f t="shared" si="141"/>
        <v>0</v>
      </c>
      <c r="L316" s="283">
        <f t="shared" si="141"/>
        <v>0</v>
      </c>
      <c r="M316" s="568">
        <f t="shared" si="141"/>
        <v>0</v>
      </c>
      <c r="N316" s="568">
        <f t="shared" si="141"/>
        <v>0</v>
      </c>
      <c r="O316" s="569">
        <f t="shared" si="141"/>
        <v>0</v>
      </c>
      <c r="P316" s="569">
        <f t="shared" si="141"/>
        <v>0</v>
      </c>
      <c r="Q316" s="569">
        <f t="shared" si="141"/>
        <v>0</v>
      </c>
      <c r="R316" s="569">
        <f t="shared" si="141"/>
        <v>0</v>
      </c>
      <c r="S316" s="132">
        <f t="shared" si="128"/>
        <v>310</v>
      </c>
    </row>
    <row r="317" spans="1:19" s="77" customFormat="1" ht="63" x14ac:dyDescent="0.25">
      <c r="A317" s="264" t="s">
        <v>115</v>
      </c>
      <c r="B317" s="380" t="s">
        <v>70</v>
      </c>
      <c r="C317" s="488" t="s">
        <v>14</v>
      </c>
      <c r="D317" s="380" t="s">
        <v>25</v>
      </c>
      <c r="E317" s="265" t="s">
        <v>407</v>
      </c>
      <c r="F317" s="380" t="s">
        <v>113</v>
      </c>
      <c r="G317" s="282"/>
      <c r="H317" s="303">
        <v>310</v>
      </c>
      <c r="I317" s="265"/>
      <c r="J317" s="265"/>
      <c r="K317" s="265"/>
      <c r="L317" s="265"/>
      <c r="M317" s="570"/>
      <c r="N317" s="570"/>
      <c r="O317" s="571"/>
      <c r="P317" s="571"/>
      <c r="Q317" s="571"/>
      <c r="R317" s="571"/>
      <c r="S317" s="566">
        <f t="shared" si="128"/>
        <v>310</v>
      </c>
    </row>
    <row r="318" spans="1:19" s="80" customFormat="1" ht="47.25" x14ac:dyDescent="0.25">
      <c r="A318" s="267" t="s">
        <v>572</v>
      </c>
      <c r="B318" s="497" t="s">
        <v>70</v>
      </c>
      <c r="C318" s="496" t="s">
        <v>14</v>
      </c>
      <c r="D318" s="497" t="s">
        <v>25</v>
      </c>
      <c r="E318" s="285" t="s">
        <v>408</v>
      </c>
      <c r="F318" s="497" t="s">
        <v>9</v>
      </c>
      <c r="G318" s="283">
        <f t="shared" ref="G318:R318" si="142">G319</f>
        <v>0</v>
      </c>
      <c r="H318" s="283">
        <f t="shared" si="142"/>
        <v>2980.5</v>
      </c>
      <c r="I318" s="283">
        <f t="shared" si="142"/>
        <v>0</v>
      </c>
      <c r="J318" s="283">
        <f t="shared" si="142"/>
        <v>0</v>
      </c>
      <c r="K318" s="283">
        <f t="shared" si="142"/>
        <v>0</v>
      </c>
      <c r="L318" s="283">
        <f t="shared" si="142"/>
        <v>0</v>
      </c>
      <c r="M318" s="568">
        <f t="shared" si="142"/>
        <v>0</v>
      </c>
      <c r="N318" s="568">
        <f t="shared" si="142"/>
        <v>0</v>
      </c>
      <c r="O318" s="569">
        <f t="shared" si="142"/>
        <v>0</v>
      </c>
      <c r="P318" s="569">
        <f t="shared" si="142"/>
        <v>0</v>
      </c>
      <c r="Q318" s="569">
        <f t="shared" si="142"/>
        <v>0</v>
      </c>
      <c r="R318" s="569">
        <f t="shared" si="142"/>
        <v>0</v>
      </c>
      <c r="S318" s="132">
        <f t="shared" si="128"/>
        <v>2980.5</v>
      </c>
    </row>
    <row r="319" spans="1:19" s="80" customFormat="1" x14ac:dyDescent="0.25">
      <c r="A319" s="267" t="s">
        <v>26</v>
      </c>
      <c r="B319" s="497" t="s">
        <v>70</v>
      </c>
      <c r="C319" s="496" t="s">
        <v>14</v>
      </c>
      <c r="D319" s="497" t="s">
        <v>25</v>
      </c>
      <c r="E319" s="285" t="s">
        <v>409</v>
      </c>
      <c r="F319" s="497" t="s">
        <v>9</v>
      </c>
      <c r="G319" s="283">
        <f t="shared" ref="G319:R319" si="143">G320+G321+G322</f>
        <v>0</v>
      </c>
      <c r="H319" s="283">
        <f t="shared" si="143"/>
        <v>2980.5</v>
      </c>
      <c r="I319" s="283">
        <f t="shared" si="143"/>
        <v>0</v>
      </c>
      <c r="J319" s="283">
        <f t="shared" si="143"/>
        <v>0</v>
      </c>
      <c r="K319" s="283">
        <f t="shared" si="143"/>
        <v>0</v>
      </c>
      <c r="L319" s="283">
        <f t="shared" si="143"/>
        <v>0</v>
      </c>
      <c r="M319" s="568">
        <f t="shared" si="143"/>
        <v>0</v>
      </c>
      <c r="N319" s="568">
        <f t="shared" si="143"/>
        <v>0</v>
      </c>
      <c r="O319" s="569">
        <f t="shared" si="143"/>
        <v>0</v>
      </c>
      <c r="P319" s="569">
        <f t="shared" si="143"/>
        <v>0</v>
      </c>
      <c r="Q319" s="569">
        <f t="shared" si="143"/>
        <v>0</v>
      </c>
      <c r="R319" s="569">
        <f t="shared" si="143"/>
        <v>0</v>
      </c>
      <c r="S319" s="132">
        <f t="shared" si="128"/>
        <v>2980.5</v>
      </c>
    </row>
    <row r="320" spans="1:19" s="77" customFormat="1" ht="90.6" customHeight="1" x14ac:dyDescent="0.25">
      <c r="A320" s="264" t="s">
        <v>115</v>
      </c>
      <c r="B320" s="380" t="s">
        <v>70</v>
      </c>
      <c r="C320" s="488" t="s">
        <v>14</v>
      </c>
      <c r="D320" s="380" t="s">
        <v>25</v>
      </c>
      <c r="E320" s="265" t="s">
        <v>409</v>
      </c>
      <c r="F320" s="380" t="s">
        <v>113</v>
      </c>
      <c r="G320" s="282"/>
      <c r="H320" s="303">
        <v>2980.5</v>
      </c>
      <c r="I320" s="265"/>
      <c r="J320" s="265"/>
      <c r="K320" s="265"/>
      <c r="L320" s="265">
        <v>-5.0400000000000002E-3</v>
      </c>
      <c r="M320" s="570">
        <v>-3.5599999999999998E-3</v>
      </c>
      <c r="N320" s="570">
        <v>-2.65E-3</v>
      </c>
      <c r="O320" s="571"/>
      <c r="P320" s="571"/>
      <c r="Q320" s="571"/>
      <c r="R320" s="571"/>
      <c r="S320" s="566">
        <f t="shared" si="128"/>
        <v>2980.48875</v>
      </c>
    </row>
    <row r="321" spans="1:19" s="77" customFormat="1" ht="33" hidden="1" customHeight="1" x14ac:dyDescent="0.3">
      <c r="A321" s="264" t="s">
        <v>124</v>
      </c>
      <c r="B321" s="380" t="s">
        <v>70</v>
      </c>
      <c r="C321" s="488" t="s">
        <v>14</v>
      </c>
      <c r="D321" s="380" t="s">
        <v>25</v>
      </c>
      <c r="E321" s="265" t="s">
        <v>409</v>
      </c>
      <c r="F321" s="380" t="s">
        <v>117</v>
      </c>
      <c r="G321" s="282"/>
      <c r="H321" s="303"/>
      <c r="I321" s="265"/>
      <c r="J321" s="265"/>
      <c r="K321" s="265"/>
      <c r="L321" s="265"/>
      <c r="M321" s="570"/>
      <c r="N321" s="570"/>
      <c r="O321" s="571"/>
      <c r="P321" s="571"/>
      <c r="Q321" s="571"/>
      <c r="R321" s="571"/>
      <c r="S321" s="131">
        <f t="shared" si="128"/>
        <v>0</v>
      </c>
    </row>
    <row r="322" spans="1:19" s="77" customFormat="1" ht="28.9" hidden="1" customHeight="1" x14ac:dyDescent="0.3">
      <c r="A322" s="264" t="s">
        <v>116</v>
      </c>
      <c r="B322" s="380" t="s">
        <v>70</v>
      </c>
      <c r="C322" s="488" t="s">
        <v>14</v>
      </c>
      <c r="D322" s="380" t="s">
        <v>25</v>
      </c>
      <c r="E322" s="265" t="s">
        <v>409</v>
      </c>
      <c r="F322" s="380" t="s">
        <v>114</v>
      </c>
      <c r="G322" s="282"/>
      <c r="H322" s="303"/>
      <c r="I322" s="265"/>
      <c r="J322" s="265"/>
      <c r="K322" s="265"/>
      <c r="L322" s="265">
        <v>5.0400000000000002E-3</v>
      </c>
      <c r="M322" s="570">
        <v>3.5599999999999998E-3</v>
      </c>
      <c r="N322" s="570">
        <v>2.65E-3</v>
      </c>
      <c r="O322" s="571"/>
      <c r="P322" s="571"/>
      <c r="Q322" s="571"/>
      <c r="R322" s="571"/>
      <c r="S322" s="566">
        <f t="shared" si="128"/>
        <v>1.125E-2</v>
      </c>
    </row>
    <row r="323" spans="1:19" s="80" customFormat="1" ht="29.45" customHeight="1" x14ac:dyDescent="0.25">
      <c r="A323" s="267" t="s">
        <v>27</v>
      </c>
      <c r="B323" s="497" t="s">
        <v>70</v>
      </c>
      <c r="C323" s="496" t="s">
        <v>14</v>
      </c>
      <c r="D323" s="497" t="s">
        <v>28</v>
      </c>
      <c r="E323" s="285" t="s">
        <v>365</v>
      </c>
      <c r="F323" s="497" t="s">
        <v>9</v>
      </c>
      <c r="G323" s="283">
        <f t="shared" ref="G323:R323" si="144">G324</f>
        <v>0</v>
      </c>
      <c r="H323" s="283">
        <f t="shared" si="144"/>
        <v>699.4</v>
      </c>
      <c r="I323" s="283">
        <f t="shared" si="144"/>
        <v>4.5541600000000004</v>
      </c>
      <c r="J323" s="283">
        <f t="shared" si="144"/>
        <v>0</v>
      </c>
      <c r="K323" s="283">
        <f t="shared" si="144"/>
        <v>35.200000000000003</v>
      </c>
      <c r="L323" s="283">
        <f t="shared" si="144"/>
        <v>0</v>
      </c>
      <c r="M323" s="568">
        <f t="shared" si="144"/>
        <v>13.1</v>
      </c>
      <c r="N323" s="568">
        <f t="shared" si="144"/>
        <v>0</v>
      </c>
      <c r="O323" s="569">
        <f t="shared" si="144"/>
        <v>0</v>
      </c>
      <c r="P323" s="569">
        <f t="shared" si="144"/>
        <v>0</v>
      </c>
      <c r="Q323" s="569">
        <f t="shared" si="144"/>
        <v>0</v>
      </c>
      <c r="R323" s="569">
        <f t="shared" si="144"/>
        <v>0</v>
      </c>
      <c r="S323" s="132">
        <f t="shared" si="128"/>
        <v>752.25416000000007</v>
      </c>
    </row>
    <row r="324" spans="1:19" s="80" customFormat="1" ht="27" customHeight="1" x14ac:dyDescent="0.25">
      <c r="A324" s="267" t="s">
        <v>786</v>
      </c>
      <c r="B324" s="497" t="s">
        <v>70</v>
      </c>
      <c r="C324" s="496" t="s">
        <v>14</v>
      </c>
      <c r="D324" s="497" t="s">
        <v>28</v>
      </c>
      <c r="E324" s="285" t="s">
        <v>405</v>
      </c>
      <c r="F324" s="497" t="s">
        <v>9</v>
      </c>
      <c r="G324" s="283">
        <f t="shared" ref="G324:R324" si="145">G325+G328+G332</f>
        <v>0</v>
      </c>
      <c r="H324" s="283">
        <f t="shared" si="145"/>
        <v>699.4</v>
      </c>
      <c r="I324" s="283">
        <f t="shared" si="145"/>
        <v>4.5541600000000004</v>
      </c>
      <c r="J324" s="283">
        <f t="shared" si="145"/>
        <v>0</v>
      </c>
      <c r="K324" s="283">
        <f t="shared" si="145"/>
        <v>35.200000000000003</v>
      </c>
      <c r="L324" s="283">
        <f t="shared" si="145"/>
        <v>0</v>
      </c>
      <c r="M324" s="568">
        <f t="shared" si="145"/>
        <v>13.1</v>
      </c>
      <c r="N324" s="568">
        <f t="shared" si="145"/>
        <v>0</v>
      </c>
      <c r="O324" s="569">
        <f t="shared" si="145"/>
        <v>0</v>
      </c>
      <c r="P324" s="569">
        <f t="shared" si="145"/>
        <v>0</v>
      </c>
      <c r="Q324" s="569">
        <f t="shared" si="145"/>
        <v>0</v>
      </c>
      <c r="R324" s="569">
        <f t="shared" si="145"/>
        <v>0</v>
      </c>
      <c r="S324" s="132">
        <f t="shared" si="128"/>
        <v>752.25416000000007</v>
      </c>
    </row>
    <row r="325" spans="1:19" s="80" customFormat="1" ht="27.6" hidden="1" customHeight="1" x14ac:dyDescent="0.3">
      <c r="A325" s="267" t="s">
        <v>127</v>
      </c>
      <c r="B325" s="497" t="s">
        <v>70</v>
      </c>
      <c r="C325" s="496" t="s">
        <v>14</v>
      </c>
      <c r="D325" s="497" t="s">
        <v>28</v>
      </c>
      <c r="E325" s="285" t="s">
        <v>406</v>
      </c>
      <c r="F325" s="497" t="s">
        <v>9</v>
      </c>
      <c r="G325" s="283">
        <f t="shared" ref="G325:R326" si="146">G326</f>
        <v>0</v>
      </c>
      <c r="H325" s="283">
        <f t="shared" si="146"/>
        <v>0</v>
      </c>
      <c r="I325" s="283">
        <f t="shared" si="146"/>
        <v>0</v>
      </c>
      <c r="J325" s="283">
        <f t="shared" si="146"/>
        <v>0</v>
      </c>
      <c r="K325" s="283">
        <f t="shared" si="146"/>
        <v>0</v>
      </c>
      <c r="L325" s="283">
        <f t="shared" si="146"/>
        <v>0</v>
      </c>
      <c r="M325" s="568">
        <f t="shared" si="146"/>
        <v>0</v>
      </c>
      <c r="N325" s="568">
        <f t="shared" si="146"/>
        <v>0</v>
      </c>
      <c r="O325" s="569">
        <f t="shared" si="146"/>
        <v>0</v>
      </c>
      <c r="P325" s="569">
        <f t="shared" si="146"/>
        <v>0</v>
      </c>
      <c r="Q325" s="569">
        <f t="shared" si="146"/>
        <v>0</v>
      </c>
      <c r="R325" s="569">
        <f t="shared" si="146"/>
        <v>0</v>
      </c>
      <c r="S325" s="132">
        <f t="shared" si="128"/>
        <v>0</v>
      </c>
    </row>
    <row r="326" spans="1:19" s="80" customFormat="1" ht="29.45" hidden="1" customHeight="1" x14ac:dyDescent="0.3">
      <c r="A326" s="267" t="s">
        <v>121</v>
      </c>
      <c r="B326" s="497" t="s">
        <v>70</v>
      </c>
      <c r="C326" s="496" t="s">
        <v>14</v>
      </c>
      <c r="D326" s="497" t="s">
        <v>28</v>
      </c>
      <c r="E326" s="285" t="s">
        <v>410</v>
      </c>
      <c r="F326" s="497" t="s">
        <v>9</v>
      </c>
      <c r="G326" s="283">
        <f t="shared" si="146"/>
        <v>0</v>
      </c>
      <c r="H326" s="283">
        <f t="shared" si="146"/>
        <v>0</v>
      </c>
      <c r="I326" s="283">
        <f t="shared" si="146"/>
        <v>0</v>
      </c>
      <c r="J326" s="283">
        <f t="shared" si="146"/>
        <v>0</v>
      </c>
      <c r="K326" s="283">
        <f t="shared" si="146"/>
        <v>0</v>
      </c>
      <c r="L326" s="283">
        <f t="shared" si="146"/>
        <v>0</v>
      </c>
      <c r="M326" s="568">
        <f t="shared" si="146"/>
        <v>0</v>
      </c>
      <c r="N326" s="568">
        <f t="shared" si="146"/>
        <v>0</v>
      </c>
      <c r="O326" s="569">
        <f t="shared" si="146"/>
        <v>0</v>
      </c>
      <c r="P326" s="569">
        <f t="shared" si="146"/>
        <v>0</v>
      </c>
      <c r="Q326" s="569">
        <f t="shared" si="146"/>
        <v>0</v>
      </c>
      <c r="R326" s="569">
        <f t="shared" si="146"/>
        <v>0</v>
      </c>
      <c r="S326" s="132">
        <f t="shared" si="128"/>
        <v>0</v>
      </c>
    </row>
    <row r="327" spans="1:19" s="77" customFormat="1" ht="29.45" hidden="1" customHeight="1" x14ac:dyDescent="0.3">
      <c r="A327" s="264" t="s">
        <v>124</v>
      </c>
      <c r="B327" s="380" t="s">
        <v>70</v>
      </c>
      <c r="C327" s="488" t="s">
        <v>14</v>
      </c>
      <c r="D327" s="380" t="s">
        <v>28</v>
      </c>
      <c r="E327" s="265" t="s">
        <v>410</v>
      </c>
      <c r="F327" s="380" t="s">
        <v>117</v>
      </c>
      <c r="G327" s="282"/>
      <c r="H327" s="303"/>
      <c r="I327" s="265"/>
      <c r="J327" s="265"/>
      <c r="K327" s="265"/>
      <c r="L327" s="265"/>
      <c r="M327" s="570"/>
      <c r="N327" s="570"/>
      <c r="O327" s="571"/>
      <c r="P327" s="571"/>
      <c r="Q327" s="571"/>
      <c r="R327" s="571"/>
      <c r="S327" s="131">
        <f t="shared" si="128"/>
        <v>0</v>
      </c>
    </row>
    <row r="328" spans="1:19" s="80" customFormat="1" ht="25.9" customHeight="1" x14ac:dyDescent="0.25">
      <c r="A328" s="267" t="s">
        <v>572</v>
      </c>
      <c r="B328" s="497" t="s">
        <v>70</v>
      </c>
      <c r="C328" s="496" t="s">
        <v>14</v>
      </c>
      <c r="D328" s="497" t="s">
        <v>28</v>
      </c>
      <c r="E328" s="285" t="s">
        <v>408</v>
      </c>
      <c r="F328" s="497" t="s">
        <v>9</v>
      </c>
      <c r="G328" s="283">
        <f t="shared" ref="G328:R328" si="147">G329</f>
        <v>0</v>
      </c>
      <c r="H328" s="283">
        <f t="shared" si="147"/>
        <v>699.4</v>
      </c>
      <c r="I328" s="283">
        <f t="shared" si="147"/>
        <v>0</v>
      </c>
      <c r="J328" s="283">
        <f t="shared" si="147"/>
        <v>0</v>
      </c>
      <c r="K328" s="283">
        <f t="shared" si="147"/>
        <v>35.200000000000003</v>
      </c>
      <c r="L328" s="283">
        <f t="shared" si="147"/>
        <v>0</v>
      </c>
      <c r="M328" s="568">
        <f t="shared" si="147"/>
        <v>13.1</v>
      </c>
      <c r="N328" s="568">
        <f t="shared" si="147"/>
        <v>0</v>
      </c>
      <c r="O328" s="569">
        <f t="shared" si="147"/>
        <v>0</v>
      </c>
      <c r="P328" s="569">
        <f t="shared" si="147"/>
        <v>0</v>
      </c>
      <c r="Q328" s="569">
        <f t="shared" si="147"/>
        <v>0</v>
      </c>
      <c r="R328" s="569">
        <f t="shared" si="147"/>
        <v>0</v>
      </c>
      <c r="S328" s="132">
        <f t="shared" si="128"/>
        <v>747.7</v>
      </c>
    </row>
    <row r="329" spans="1:19" s="80" customFormat="1" ht="34.15" customHeight="1" x14ac:dyDescent="0.25">
      <c r="A329" s="267" t="s">
        <v>29</v>
      </c>
      <c r="B329" s="497" t="s">
        <v>70</v>
      </c>
      <c r="C329" s="496" t="s">
        <v>14</v>
      </c>
      <c r="D329" s="497" t="s">
        <v>28</v>
      </c>
      <c r="E329" s="285" t="s">
        <v>411</v>
      </c>
      <c r="F329" s="497" t="s">
        <v>9</v>
      </c>
      <c r="G329" s="283">
        <f t="shared" ref="G329:R329" si="148">G330+G331</f>
        <v>0</v>
      </c>
      <c r="H329" s="283">
        <f t="shared" si="148"/>
        <v>699.4</v>
      </c>
      <c r="I329" s="283">
        <f t="shared" si="148"/>
        <v>0</v>
      </c>
      <c r="J329" s="283">
        <f t="shared" si="148"/>
        <v>0</v>
      </c>
      <c r="K329" s="283">
        <f t="shared" si="148"/>
        <v>35.200000000000003</v>
      </c>
      <c r="L329" s="283">
        <f t="shared" si="148"/>
        <v>0</v>
      </c>
      <c r="M329" s="568">
        <f t="shared" si="148"/>
        <v>13.1</v>
      </c>
      <c r="N329" s="568">
        <f t="shared" si="148"/>
        <v>0</v>
      </c>
      <c r="O329" s="569">
        <f t="shared" si="148"/>
        <v>0</v>
      </c>
      <c r="P329" s="569">
        <f t="shared" si="148"/>
        <v>0</v>
      </c>
      <c r="Q329" s="569">
        <f t="shared" si="148"/>
        <v>0</v>
      </c>
      <c r="R329" s="569">
        <f t="shared" si="148"/>
        <v>0</v>
      </c>
      <c r="S329" s="132">
        <f t="shared" si="128"/>
        <v>747.7</v>
      </c>
    </row>
    <row r="330" spans="1:19" s="77" customFormat="1" ht="63" x14ac:dyDescent="0.25">
      <c r="A330" s="264" t="s">
        <v>115</v>
      </c>
      <c r="B330" s="380" t="s">
        <v>70</v>
      </c>
      <c r="C330" s="488" t="s">
        <v>14</v>
      </c>
      <c r="D330" s="380" t="s">
        <v>28</v>
      </c>
      <c r="E330" s="265" t="s">
        <v>411</v>
      </c>
      <c r="F330" s="380" t="s">
        <v>113</v>
      </c>
      <c r="G330" s="282"/>
      <c r="H330" s="303">
        <v>673.4</v>
      </c>
      <c r="I330" s="265"/>
      <c r="J330" s="265"/>
      <c r="K330" s="419">
        <v>35.200000000000003</v>
      </c>
      <c r="L330" s="265"/>
      <c r="M330" s="570"/>
      <c r="N330" s="570"/>
      <c r="O330" s="571"/>
      <c r="P330" s="571"/>
      <c r="Q330" s="571"/>
      <c r="R330" s="571"/>
      <c r="S330" s="566">
        <f t="shared" si="128"/>
        <v>708.6</v>
      </c>
    </row>
    <row r="331" spans="1:19" s="77" customFormat="1" ht="31.5" x14ac:dyDescent="0.25">
      <c r="A331" s="264" t="s">
        <v>124</v>
      </c>
      <c r="B331" s="380" t="s">
        <v>70</v>
      </c>
      <c r="C331" s="488" t="s">
        <v>14</v>
      </c>
      <c r="D331" s="380" t="s">
        <v>28</v>
      </c>
      <c r="E331" s="265" t="s">
        <v>411</v>
      </c>
      <c r="F331" s="380" t="s">
        <v>117</v>
      </c>
      <c r="G331" s="282"/>
      <c r="H331" s="303">
        <v>26</v>
      </c>
      <c r="I331" s="265"/>
      <c r="J331" s="265"/>
      <c r="K331" s="265"/>
      <c r="L331" s="265"/>
      <c r="M331" s="566">
        <v>13.1</v>
      </c>
      <c r="N331" s="570"/>
      <c r="O331" s="571"/>
      <c r="P331" s="571"/>
      <c r="Q331" s="571"/>
      <c r="R331" s="571"/>
      <c r="S331" s="566">
        <f t="shared" si="128"/>
        <v>39.1</v>
      </c>
    </row>
    <row r="332" spans="1:19" s="80" customFormat="1" ht="31.5" x14ac:dyDescent="0.25">
      <c r="A332" s="267" t="s">
        <v>122</v>
      </c>
      <c r="B332" s="497" t="s">
        <v>70</v>
      </c>
      <c r="C332" s="496" t="s">
        <v>14</v>
      </c>
      <c r="D332" s="497" t="s">
        <v>28</v>
      </c>
      <c r="E332" s="285" t="s">
        <v>412</v>
      </c>
      <c r="F332" s="497" t="s">
        <v>9</v>
      </c>
      <c r="G332" s="283">
        <f t="shared" ref="G332:R332" si="149">G333</f>
        <v>0</v>
      </c>
      <c r="H332" s="283">
        <f t="shared" si="149"/>
        <v>0</v>
      </c>
      <c r="I332" s="283">
        <f t="shared" si="149"/>
        <v>4.5541600000000004</v>
      </c>
      <c r="J332" s="283">
        <f t="shared" si="149"/>
        <v>0</v>
      </c>
      <c r="K332" s="283">
        <f t="shared" si="149"/>
        <v>0</v>
      </c>
      <c r="L332" s="283">
        <f t="shared" si="149"/>
        <v>0</v>
      </c>
      <c r="M332" s="568">
        <f t="shared" si="149"/>
        <v>0</v>
      </c>
      <c r="N332" s="568">
        <f t="shared" si="149"/>
        <v>0</v>
      </c>
      <c r="O332" s="569">
        <f t="shared" si="149"/>
        <v>0</v>
      </c>
      <c r="P332" s="569">
        <f t="shared" si="149"/>
        <v>0</v>
      </c>
      <c r="Q332" s="569">
        <f t="shared" si="149"/>
        <v>0</v>
      </c>
      <c r="R332" s="569">
        <f t="shared" si="149"/>
        <v>0</v>
      </c>
      <c r="S332" s="132">
        <f t="shared" si="128"/>
        <v>4.5541600000000004</v>
      </c>
    </row>
    <row r="333" spans="1:19" s="77" customFormat="1" ht="31.5" x14ac:dyDescent="0.25">
      <c r="A333" s="264" t="s">
        <v>124</v>
      </c>
      <c r="B333" s="380" t="s">
        <v>70</v>
      </c>
      <c r="C333" s="488" t="s">
        <v>14</v>
      </c>
      <c r="D333" s="380" t="s">
        <v>28</v>
      </c>
      <c r="E333" s="265" t="s">
        <v>412</v>
      </c>
      <c r="F333" s="380" t="s">
        <v>117</v>
      </c>
      <c r="G333" s="282"/>
      <c r="H333" s="303"/>
      <c r="I333" s="265">
        <v>4.5541600000000004</v>
      </c>
      <c r="J333" s="282"/>
      <c r="K333" s="265"/>
      <c r="L333" s="282"/>
      <c r="M333" s="570"/>
      <c r="N333" s="570"/>
      <c r="O333" s="571"/>
      <c r="P333" s="571"/>
      <c r="Q333" s="571"/>
      <c r="R333" s="571"/>
      <c r="S333" s="566">
        <f t="shared" si="128"/>
        <v>4.5541600000000004</v>
      </c>
    </row>
    <row r="334" spans="1:19" s="77" customFormat="1" x14ac:dyDescent="0.25">
      <c r="A334" s="264" t="s">
        <v>72</v>
      </c>
      <c r="B334" s="380" t="s">
        <v>70</v>
      </c>
      <c r="C334" s="488" t="s">
        <v>25</v>
      </c>
      <c r="D334" s="380" t="s">
        <v>10</v>
      </c>
      <c r="E334" s="265" t="s">
        <v>365</v>
      </c>
      <c r="F334" s="380" t="s">
        <v>9</v>
      </c>
      <c r="G334" s="282">
        <f t="shared" ref="G334:R335" si="150">G335</f>
        <v>0</v>
      </c>
      <c r="H334" s="282">
        <f t="shared" si="150"/>
        <v>0</v>
      </c>
      <c r="I334" s="282">
        <f t="shared" si="150"/>
        <v>0</v>
      </c>
      <c r="J334" s="282">
        <f t="shared" si="150"/>
        <v>0</v>
      </c>
      <c r="K334" s="282">
        <f t="shared" si="150"/>
        <v>0</v>
      </c>
      <c r="L334" s="282">
        <f t="shared" si="150"/>
        <v>0</v>
      </c>
      <c r="M334" s="566">
        <f t="shared" si="150"/>
        <v>0</v>
      </c>
      <c r="N334" s="566">
        <f t="shared" si="150"/>
        <v>23.1</v>
      </c>
      <c r="O334" s="567">
        <f t="shared" si="150"/>
        <v>0</v>
      </c>
      <c r="P334" s="567">
        <f t="shared" si="150"/>
        <v>0</v>
      </c>
      <c r="Q334" s="567">
        <f t="shared" si="150"/>
        <v>0</v>
      </c>
      <c r="R334" s="567">
        <f t="shared" si="150"/>
        <v>0</v>
      </c>
      <c r="S334" s="131">
        <f t="shared" si="128"/>
        <v>23.1</v>
      </c>
    </row>
    <row r="335" spans="1:19" s="80" customFormat="1" x14ac:dyDescent="0.25">
      <c r="A335" s="267" t="s">
        <v>73</v>
      </c>
      <c r="B335" s="497" t="s">
        <v>70</v>
      </c>
      <c r="C335" s="496" t="s">
        <v>25</v>
      </c>
      <c r="D335" s="497" t="s">
        <v>74</v>
      </c>
      <c r="E335" s="285" t="s">
        <v>365</v>
      </c>
      <c r="F335" s="497" t="s">
        <v>9</v>
      </c>
      <c r="G335" s="283">
        <f t="shared" si="150"/>
        <v>0</v>
      </c>
      <c r="H335" s="283">
        <f t="shared" si="150"/>
        <v>0</v>
      </c>
      <c r="I335" s="283">
        <f t="shared" si="150"/>
        <v>0</v>
      </c>
      <c r="J335" s="283">
        <f t="shared" si="150"/>
        <v>0</v>
      </c>
      <c r="K335" s="283">
        <f t="shared" si="150"/>
        <v>0</v>
      </c>
      <c r="L335" s="283">
        <f t="shared" si="150"/>
        <v>0</v>
      </c>
      <c r="M335" s="568">
        <f t="shared" si="150"/>
        <v>0</v>
      </c>
      <c r="N335" s="568">
        <f t="shared" si="150"/>
        <v>23.1</v>
      </c>
      <c r="O335" s="569">
        <f t="shared" si="150"/>
        <v>0</v>
      </c>
      <c r="P335" s="569">
        <f t="shared" si="150"/>
        <v>0</v>
      </c>
      <c r="Q335" s="569">
        <f t="shared" si="150"/>
        <v>0</v>
      </c>
      <c r="R335" s="569">
        <f t="shared" si="150"/>
        <v>0</v>
      </c>
      <c r="S335" s="132">
        <f t="shared" si="128"/>
        <v>23.1</v>
      </c>
    </row>
    <row r="336" spans="1:19" s="80" customFormat="1" ht="31.5" x14ac:dyDescent="0.25">
      <c r="A336" s="267" t="s">
        <v>786</v>
      </c>
      <c r="B336" s="497" t="s">
        <v>70</v>
      </c>
      <c r="C336" s="496" t="s">
        <v>25</v>
      </c>
      <c r="D336" s="497" t="s">
        <v>74</v>
      </c>
      <c r="E336" s="285" t="s">
        <v>405</v>
      </c>
      <c r="F336" s="497" t="s">
        <v>9</v>
      </c>
      <c r="G336" s="283">
        <f t="shared" ref="G336:R336" si="151">G342+G344+G337+G340</f>
        <v>0</v>
      </c>
      <c r="H336" s="283">
        <f t="shared" si="151"/>
        <v>0</v>
      </c>
      <c r="I336" s="283">
        <f t="shared" si="151"/>
        <v>0</v>
      </c>
      <c r="J336" s="283">
        <f t="shared" si="151"/>
        <v>0</v>
      </c>
      <c r="K336" s="283">
        <f t="shared" si="151"/>
        <v>0</v>
      </c>
      <c r="L336" s="283">
        <f t="shared" si="151"/>
        <v>0</v>
      </c>
      <c r="M336" s="568">
        <f t="shared" si="151"/>
        <v>0</v>
      </c>
      <c r="N336" s="568">
        <f t="shared" si="151"/>
        <v>23.1</v>
      </c>
      <c r="O336" s="132">
        <f t="shared" si="151"/>
        <v>0</v>
      </c>
      <c r="P336" s="132">
        <f t="shared" si="151"/>
        <v>0</v>
      </c>
      <c r="Q336" s="132">
        <f t="shared" si="151"/>
        <v>0</v>
      </c>
      <c r="R336" s="132">
        <f t="shared" si="151"/>
        <v>0</v>
      </c>
      <c r="S336" s="132">
        <f t="shared" si="128"/>
        <v>23.1</v>
      </c>
    </row>
    <row r="337" spans="1:19" s="80" customFormat="1" ht="46.9" hidden="1" x14ac:dyDescent="0.3">
      <c r="A337" s="267" t="s">
        <v>41</v>
      </c>
      <c r="B337" s="497" t="s">
        <v>70</v>
      </c>
      <c r="C337" s="496" t="s">
        <v>25</v>
      </c>
      <c r="D337" s="497" t="s">
        <v>74</v>
      </c>
      <c r="E337" s="285" t="s">
        <v>1115</v>
      </c>
      <c r="F337" s="497" t="s">
        <v>9</v>
      </c>
      <c r="G337" s="283">
        <f t="shared" ref="G337:R338" si="152">G338</f>
        <v>0</v>
      </c>
      <c r="H337" s="283">
        <f t="shared" si="152"/>
        <v>0</v>
      </c>
      <c r="I337" s="283">
        <f t="shared" si="152"/>
        <v>0</v>
      </c>
      <c r="J337" s="283">
        <f t="shared" si="152"/>
        <v>0</v>
      </c>
      <c r="K337" s="283">
        <f t="shared" si="152"/>
        <v>0</v>
      </c>
      <c r="L337" s="283">
        <f t="shared" si="152"/>
        <v>0</v>
      </c>
      <c r="M337" s="568">
        <f t="shared" si="152"/>
        <v>0</v>
      </c>
      <c r="N337" s="568">
        <f t="shared" si="152"/>
        <v>0</v>
      </c>
      <c r="O337" s="132">
        <f t="shared" si="152"/>
        <v>0</v>
      </c>
      <c r="P337" s="132">
        <f t="shared" si="152"/>
        <v>0</v>
      </c>
      <c r="Q337" s="132">
        <f t="shared" si="152"/>
        <v>0</v>
      </c>
      <c r="R337" s="132">
        <f t="shared" si="152"/>
        <v>0</v>
      </c>
      <c r="S337" s="132">
        <f t="shared" si="128"/>
        <v>0</v>
      </c>
    </row>
    <row r="338" spans="1:19" s="80" customFormat="1" ht="15.6" hidden="1" x14ac:dyDescent="0.3">
      <c r="A338" s="267" t="s">
        <v>859</v>
      </c>
      <c r="B338" s="497" t="s">
        <v>70</v>
      </c>
      <c r="C338" s="496" t="s">
        <v>25</v>
      </c>
      <c r="D338" s="497" t="s">
        <v>74</v>
      </c>
      <c r="E338" s="285" t="s">
        <v>1116</v>
      </c>
      <c r="F338" s="497" t="s">
        <v>9</v>
      </c>
      <c r="G338" s="283">
        <f t="shared" si="152"/>
        <v>0</v>
      </c>
      <c r="H338" s="283">
        <f t="shared" si="152"/>
        <v>0</v>
      </c>
      <c r="I338" s="283">
        <f t="shared" si="152"/>
        <v>0</v>
      </c>
      <c r="J338" s="283">
        <f t="shared" si="152"/>
        <v>0</v>
      </c>
      <c r="K338" s="283">
        <f t="shared" si="152"/>
        <v>0</v>
      </c>
      <c r="L338" s="283">
        <f t="shared" si="152"/>
        <v>0</v>
      </c>
      <c r="M338" s="568">
        <f t="shared" si="152"/>
        <v>0</v>
      </c>
      <c r="N338" s="568">
        <f t="shared" si="152"/>
        <v>0</v>
      </c>
      <c r="O338" s="132">
        <f t="shared" si="152"/>
        <v>0</v>
      </c>
      <c r="P338" s="132">
        <f t="shared" si="152"/>
        <v>0</v>
      </c>
      <c r="Q338" s="132">
        <f t="shared" si="152"/>
        <v>0</v>
      </c>
      <c r="R338" s="132">
        <f t="shared" si="152"/>
        <v>0</v>
      </c>
      <c r="S338" s="132">
        <f t="shared" si="128"/>
        <v>0</v>
      </c>
    </row>
    <row r="339" spans="1:19" s="80" customFormat="1" ht="31.15" hidden="1" x14ac:dyDescent="0.3">
      <c r="A339" s="264" t="s">
        <v>124</v>
      </c>
      <c r="B339" s="380" t="s">
        <v>70</v>
      </c>
      <c r="C339" s="488" t="s">
        <v>25</v>
      </c>
      <c r="D339" s="380" t="s">
        <v>74</v>
      </c>
      <c r="E339" s="265" t="s">
        <v>1116</v>
      </c>
      <c r="F339" s="380" t="s">
        <v>117</v>
      </c>
      <c r="G339" s="282"/>
      <c r="H339" s="304"/>
      <c r="I339" s="283"/>
      <c r="J339" s="283"/>
      <c r="K339" s="283"/>
      <c r="L339" s="283"/>
      <c r="M339" s="568"/>
      <c r="N339" s="568"/>
      <c r="O339" s="569"/>
      <c r="P339" s="569"/>
      <c r="Q339" s="569"/>
      <c r="R339" s="569"/>
      <c r="S339" s="131">
        <f t="shared" si="128"/>
        <v>0</v>
      </c>
    </row>
    <row r="340" spans="1:19" s="80" customFormat="1" ht="15.6" hidden="1" x14ac:dyDescent="0.3">
      <c r="A340" s="267" t="s">
        <v>859</v>
      </c>
      <c r="B340" s="497" t="s">
        <v>70</v>
      </c>
      <c r="C340" s="496" t="s">
        <v>25</v>
      </c>
      <c r="D340" s="497" t="s">
        <v>74</v>
      </c>
      <c r="E340" s="285" t="s">
        <v>1117</v>
      </c>
      <c r="F340" s="497" t="s">
        <v>9</v>
      </c>
      <c r="G340" s="283">
        <f t="shared" ref="G340:R340" si="153">G341</f>
        <v>0</v>
      </c>
      <c r="H340" s="283">
        <f t="shared" si="153"/>
        <v>0</v>
      </c>
      <c r="I340" s="283">
        <f t="shared" si="153"/>
        <v>0</v>
      </c>
      <c r="J340" s="283">
        <f t="shared" si="153"/>
        <v>0</v>
      </c>
      <c r="K340" s="283">
        <f t="shared" si="153"/>
        <v>0</v>
      </c>
      <c r="L340" s="283">
        <f t="shared" si="153"/>
        <v>0</v>
      </c>
      <c r="M340" s="568">
        <f t="shared" si="153"/>
        <v>0</v>
      </c>
      <c r="N340" s="568">
        <f t="shared" si="153"/>
        <v>0</v>
      </c>
      <c r="O340" s="132">
        <f t="shared" si="153"/>
        <v>0</v>
      </c>
      <c r="P340" s="132">
        <f t="shared" si="153"/>
        <v>0</v>
      </c>
      <c r="Q340" s="132">
        <f t="shared" si="153"/>
        <v>0</v>
      </c>
      <c r="R340" s="132">
        <f t="shared" si="153"/>
        <v>0</v>
      </c>
      <c r="S340" s="132">
        <f t="shared" si="128"/>
        <v>0</v>
      </c>
    </row>
    <row r="341" spans="1:19" s="80" customFormat="1" ht="31.15" hidden="1" x14ac:dyDescent="0.3">
      <c r="A341" s="264" t="s">
        <v>124</v>
      </c>
      <c r="B341" s="380" t="s">
        <v>70</v>
      </c>
      <c r="C341" s="488" t="s">
        <v>25</v>
      </c>
      <c r="D341" s="380" t="s">
        <v>74</v>
      </c>
      <c r="E341" s="265" t="s">
        <v>1117</v>
      </c>
      <c r="F341" s="380" t="s">
        <v>117</v>
      </c>
      <c r="G341" s="282"/>
      <c r="H341" s="304"/>
      <c r="I341" s="283"/>
      <c r="J341" s="283"/>
      <c r="K341" s="283"/>
      <c r="L341" s="283"/>
      <c r="M341" s="568"/>
      <c r="N341" s="568"/>
      <c r="O341" s="569"/>
      <c r="P341" s="569"/>
      <c r="Q341" s="569"/>
      <c r="R341" s="569"/>
      <c r="S341" s="131">
        <f t="shared" si="128"/>
        <v>0</v>
      </c>
    </row>
    <row r="342" spans="1:19" s="80" customFormat="1" ht="31.5" x14ac:dyDescent="0.25">
      <c r="A342" s="267" t="s">
        <v>71</v>
      </c>
      <c r="B342" s="497" t="s">
        <v>70</v>
      </c>
      <c r="C342" s="496" t="s">
        <v>25</v>
      </c>
      <c r="D342" s="497" t="s">
        <v>74</v>
      </c>
      <c r="E342" s="285" t="s">
        <v>413</v>
      </c>
      <c r="F342" s="497" t="s">
        <v>9</v>
      </c>
      <c r="G342" s="283">
        <f t="shared" ref="G342:R342" si="154">G343</f>
        <v>0</v>
      </c>
      <c r="H342" s="283">
        <f t="shared" si="154"/>
        <v>0</v>
      </c>
      <c r="I342" s="283">
        <f t="shared" si="154"/>
        <v>0</v>
      </c>
      <c r="J342" s="283">
        <f t="shared" si="154"/>
        <v>0</v>
      </c>
      <c r="K342" s="283">
        <f t="shared" si="154"/>
        <v>0</v>
      </c>
      <c r="L342" s="283">
        <f t="shared" si="154"/>
        <v>0</v>
      </c>
      <c r="M342" s="568">
        <f t="shared" si="154"/>
        <v>0</v>
      </c>
      <c r="N342" s="568">
        <f t="shared" si="154"/>
        <v>23.1</v>
      </c>
      <c r="O342" s="569">
        <f t="shared" si="154"/>
        <v>0</v>
      </c>
      <c r="P342" s="569">
        <f t="shared" si="154"/>
        <v>0</v>
      </c>
      <c r="Q342" s="569">
        <f t="shared" si="154"/>
        <v>0</v>
      </c>
      <c r="R342" s="569">
        <f t="shared" si="154"/>
        <v>0</v>
      </c>
      <c r="S342" s="132">
        <f t="shared" si="128"/>
        <v>23.1</v>
      </c>
    </row>
    <row r="343" spans="1:19" s="77" customFormat="1" ht="31.5" x14ac:dyDescent="0.25">
      <c r="A343" s="264" t="s">
        <v>124</v>
      </c>
      <c r="B343" s="380" t="s">
        <v>70</v>
      </c>
      <c r="C343" s="488" t="s">
        <v>25</v>
      </c>
      <c r="D343" s="380" t="s">
        <v>74</v>
      </c>
      <c r="E343" s="265" t="s">
        <v>413</v>
      </c>
      <c r="F343" s="380" t="s">
        <v>117</v>
      </c>
      <c r="G343" s="282"/>
      <c r="H343" s="303"/>
      <c r="I343" s="265"/>
      <c r="J343" s="282"/>
      <c r="K343" s="265"/>
      <c r="L343" s="282"/>
      <c r="M343" s="570"/>
      <c r="N343" s="570">
        <v>23.1</v>
      </c>
      <c r="O343" s="571"/>
      <c r="P343" s="571"/>
      <c r="Q343" s="571"/>
      <c r="R343" s="571"/>
      <c r="S343" s="566">
        <f t="shared" si="128"/>
        <v>23.1</v>
      </c>
    </row>
    <row r="344" spans="1:19" s="77" customFormat="1" ht="15.6" hidden="1" x14ac:dyDescent="0.3">
      <c r="A344" s="267" t="s">
        <v>859</v>
      </c>
      <c r="B344" s="497" t="s">
        <v>70</v>
      </c>
      <c r="C344" s="496" t="s">
        <v>25</v>
      </c>
      <c r="D344" s="497" t="s">
        <v>74</v>
      </c>
      <c r="E344" s="285" t="s">
        <v>860</v>
      </c>
      <c r="F344" s="497" t="s">
        <v>9</v>
      </c>
      <c r="G344" s="283">
        <f t="shared" ref="G344:R344" si="155">G345</f>
        <v>0</v>
      </c>
      <c r="H344" s="283">
        <f t="shared" si="155"/>
        <v>0</v>
      </c>
      <c r="I344" s="283">
        <f t="shared" si="155"/>
        <v>0</v>
      </c>
      <c r="J344" s="283">
        <f t="shared" si="155"/>
        <v>0</v>
      </c>
      <c r="K344" s="283">
        <f t="shared" si="155"/>
        <v>0</v>
      </c>
      <c r="L344" s="283">
        <f t="shared" si="155"/>
        <v>0</v>
      </c>
      <c r="M344" s="568">
        <f t="shared" si="155"/>
        <v>0</v>
      </c>
      <c r="N344" s="568">
        <f t="shared" si="155"/>
        <v>0</v>
      </c>
      <c r="O344" s="569">
        <f t="shared" si="155"/>
        <v>0</v>
      </c>
      <c r="P344" s="569">
        <f t="shared" si="155"/>
        <v>0</v>
      </c>
      <c r="Q344" s="569">
        <f t="shared" si="155"/>
        <v>0</v>
      </c>
      <c r="R344" s="569">
        <f t="shared" si="155"/>
        <v>0</v>
      </c>
      <c r="S344" s="132">
        <f t="shared" si="128"/>
        <v>0</v>
      </c>
    </row>
    <row r="345" spans="1:19" s="77" customFormat="1" ht="31.15" hidden="1" x14ac:dyDescent="0.3">
      <c r="A345" s="264" t="s">
        <v>124</v>
      </c>
      <c r="B345" s="380" t="s">
        <v>70</v>
      </c>
      <c r="C345" s="488" t="s">
        <v>25</v>
      </c>
      <c r="D345" s="380" t="s">
        <v>74</v>
      </c>
      <c r="E345" s="265" t="s">
        <v>860</v>
      </c>
      <c r="F345" s="380" t="s">
        <v>117</v>
      </c>
      <c r="G345" s="282"/>
      <c r="H345" s="303"/>
      <c r="I345" s="265"/>
      <c r="J345" s="265"/>
      <c r="K345" s="265"/>
      <c r="L345" s="265"/>
      <c r="M345" s="566"/>
      <c r="N345" s="570"/>
      <c r="O345" s="571"/>
      <c r="P345" s="571"/>
      <c r="Q345" s="571"/>
      <c r="R345" s="571"/>
      <c r="S345" s="131">
        <f t="shared" si="128"/>
        <v>0</v>
      </c>
    </row>
    <row r="346" spans="1:19" s="77" customFormat="1" ht="15.6" hidden="1" x14ac:dyDescent="0.3">
      <c r="A346" s="264" t="s">
        <v>351</v>
      </c>
      <c r="B346" s="380" t="s">
        <v>70</v>
      </c>
      <c r="C346" s="488" t="s">
        <v>58</v>
      </c>
      <c r="D346" s="380" t="s">
        <v>10</v>
      </c>
      <c r="E346" s="265" t="s">
        <v>365</v>
      </c>
      <c r="F346" s="380" t="s">
        <v>9</v>
      </c>
      <c r="G346" s="282">
        <f t="shared" ref="G346:R346" si="156">G351+G347</f>
        <v>0</v>
      </c>
      <c r="H346" s="282">
        <f t="shared" si="156"/>
        <v>0</v>
      </c>
      <c r="I346" s="282">
        <f t="shared" si="156"/>
        <v>0</v>
      </c>
      <c r="J346" s="282">
        <f t="shared" si="156"/>
        <v>0</v>
      </c>
      <c r="K346" s="282">
        <f t="shared" si="156"/>
        <v>0</v>
      </c>
      <c r="L346" s="282">
        <f t="shared" si="156"/>
        <v>0</v>
      </c>
      <c r="M346" s="566">
        <f t="shared" si="156"/>
        <v>0</v>
      </c>
      <c r="N346" s="566">
        <f t="shared" si="156"/>
        <v>0</v>
      </c>
      <c r="O346" s="567">
        <f t="shared" si="156"/>
        <v>0</v>
      </c>
      <c r="P346" s="567">
        <f t="shared" si="156"/>
        <v>0</v>
      </c>
      <c r="Q346" s="567">
        <f t="shared" si="156"/>
        <v>0</v>
      </c>
      <c r="R346" s="567">
        <f t="shared" si="156"/>
        <v>0</v>
      </c>
      <c r="S346" s="131">
        <f t="shared" si="128"/>
        <v>0</v>
      </c>
    </row>
    <row r="347" spans="1:19" s="80" customFormat="1" ht="18" hidden="1" x14ac:dyDescent="0.3">
      <c r="A347" s="490" t="s">
        <v>582</v>
      </c>
      <c r="B347" s="497" t="s">
        <v>70</v>
      </c>
      <c r="C347" s="496" t="s">
        <v>58</v>
      </c>
      <c r="D347" s="497" t="s">
        <v>14</v>
      </c>
      <c r="E347" s="285" t="s">
        <v>365</v>
      </c>
      <c r="F347" s="497" t="s">
        <v>9</v>
      </c>
      <c r="G347" s="283">
        <f t="shared" ref="G347:R349" si="157">G348</f>
        <v>0</v>
      </c>
      <c r="H347" s="283">
        <f t="shared" si="157"/>
        <v>0</v>
      </c>
      <c r="I347" s="283">
        <f t="shared" si="157"/>
        <v>0</v>
      </c>
      <c r="J347" s="283">
        <f t="shared" si="157"/>
        <v>0</v>
      </c>
      <c r="K347" s="283">
        <f t="shared" si="157"/>
        <v>0</v>
      </c>
      <c r="L347" s="283">
        <f t="shared" si="157"/>
        <v>0</v>
      </c>
      <c r="M347" s="568">
        <f t="shared" si="157"/>
        <v>0</v>
      </c>
      <c r="N347" s="568">
        <f t="shared" si="157"/>
        <v>0</v>
      </c>
      <c r="O347" s="569">
        <f t="shared" si="157"/>
        <v>0</v>
      </c>
      <c r="P347" s="569">
        <f t="shared" si="157"/>
        <v>0</v>
      </c>
      <c r="Q347" s="569">
        <f t="shared" si="157"/>
        <v>0</v>
      </c>
      <c r="R347" s="569">
        <f t="shared" si="157"/>
        <v>0</v>
      </c>
      <c r="S347" s="132">
        <f t="shared" si="128"/>
        <v>0</v>
      </c>
    </row>
    <row r="348" spans="1:19" s="77" customFormat="1" ht="31.15" hidden="1" x14ac:dyDescent="0.3">
      <c r="A348" s="267" t="s">
        <v>865</v>
      </c>
      <c r="B348" s="497" t="s">
        <v>70</v>
      </c>
      <c r="C348" s="496" t="s">
        <v>58</v>
      </c>
      <c r="D348" s="497" t="s">
        <v>14</v>
      </c>
      <c r="E348" s="285" t="s">
        <v>405</v>
      </c>
      <c r="F348" s="497" t="s">
        <v>9</v>
      </c>
      <c r="G348" s="283">
        <f t="shared" si="157"/>
        <v>0</v>
      </c>
      <c r="H348" s="283">
        <f t="shared" si="157"/>
        <v>0</v>
      </c>
      <c r="I348" s="283">
        <f t="shared" si="157"/>
        <v>0</v>
      </c>
      <c r="J348" s="283">
        <f t="shared" si="157"/>
        <v>0</v>
      </c>
      <c r="K348" s="283">
        <f t="shared" si="157"/>
        <v>0</v>
      </c>
      <c r="L348" s="283">
        <f t="shared" si="157"/>
        <v>0</v>
      </c>
      <c r="M348" s="568">
        <f t="shared" si="157"/>
        <v>0</v>
      </c>
      <c r="N348" s="568">
        <f t="shared" si="157"/>
        <v>0</v>
      </c>
      <c r="O348" s="569">
        <f t="shared" si="157"/>
        <v>0</v>
      </c>
      <c r="P348" s="569">
        <f t="shared" si="157"/>
        <v>0</v>
      </c>
      <c r="Q348" s="569">
        <f t="shared" si="157"/>
        <v>0</v>
      </c>
      <c r="R348" s="569">
        <f t="shared" si="157"/>
        <v>0</v>
      </c>
      <c r="S348" s="132">
        <f t="shared" si="128"/>
        <v>0</v>
      </c>
    </row>
    <row r="349" spans="1:19" s="77" customFormat="1" ht="31.15" hidden="1" x14ac:dyDescent="0.3">
      <c r="A349" s="267" t="s">
        <v>122</v>
      </c>
      <c r="B349" s="497" t="s">
        <v>70</v>
      </c>
      <c r="C349" s="496" t="s">
        <v>58</v>
      </c>
      <c r="D349" s="497" t="s">
        <v>14</v>
      </c>
      <c r="E349" s="285" t="s">
        <v>412</v>
      </c>
      <c r="F349" s="497" t="s">
        <v>9</v>
      </c>
      <c r="G349" s="283">
        <f t="shared" si="157"/>
        <v>0</v>
      </c>
      <c r="H349" s="283">
        <f t="shared" si="157"/>
        <v>0</v>
      </c>
      <c r="I349" s="283">
        <f t="shared" si="157"/>
        <v>0</v>
      </c>
      <c r="J349" s="283">
        <f t="shared" si="157"/>
        <v>0</v>
      </c>
      <c r="K349" s="283">
        <f t="shared" si="157"/>
        <v>0</v>
      </c>
      <c r="L349" s="283">
        <f t="shared" si="157"/>
        <v>0</v>
      </c>
      <c r="M349" s="568">
        <f t="shared" si="157"/>
        <v>0</v>
      </c>
      <c r="N349" s="568">
        <f t="shared" si="157"/>
        <v>0</v>
      </c>
      <c r="O349" s="569">
        <f t="shared" si="157"/>
        <v>0</v>
      </c>
      <c r="P349" s="569">
        <f t="shared" si="157"/>
        <v>0</v>
      </c>
      <c r="Q349" s="569">
        <f t="shared" si="157"/>
        <v>0</v>
      </c>
      <c r="R349" s="569">
        <f t="shared" si="157"/>
        <v>0</v>
      </c>
      <c r="S349" s="132">
        <f t="shared" si="128"/>
        <v>0</v>
      </c>
    </row>
    <row r="350" spans="1:19" s="77" customFormat="1" ht="31.15" hidden="1" x14ac:dyDescent="0.3">
      <c r="A350" s="264" t="s">
        <v>124</v>
      </c>
      <c r="B350" s="380" t="s">
        <v>70</v>
      </c>
      <c r="C350" s="488" t="s">
        <v>58</v>
      </c>
      <c r="D350" s="380" t="s">
        <v>14</v>
      </c>
      <c r="E350" s="265" t="s">
        <v>412</v>
      </c>
      <c r="F350" s="380" t="s">
        <v>117</v>
      </c>
      <c r="G350" s="282"/>
      <c r="H350" s="303"/>
      <c r="I350" s="265"/>
      <c r="J350" s="265"/>
      <c r="K350" s="265"/>
      <c r="L350" s="265"/>
      <c r="M350" s="570"/>
      <c r="N350" s="570"/>
      <c r="O350" s="571"/>
      <c r="P350" s="571"/>
      <c r="Q350" s="571"/>
      <c r="R350" s="571"/>
      <c r="S350" s="131">
        <f t="shared" si="128"/>
        <v>0</v>
      </c>
    </row>
    <row r="351" spans="1:19" s="77" customFormat="1" ht="15.6" hidden="1" x14ac:dyDescent="0.3">
      <c r="A351" s="267" t="s">
        <v>352</v>
      </c>
      <c r="B351" s="497" t="s">
        <v>70</v>
      </c>
      <c r="C351" s="496" t="s">
        <v>58</v>
      </c>
      <c r="D351" s="497" t="s">
        <v>36</v>
      </c>
      <c r="E351" s="285" t="s">
        <v>365</v>
      </c>
      <c r="F351" s="497" t="s">
        <v>9</v>
      </c>
      <c r="G351" s="283">
        <f t="shared" ref="G351:R351" si="158">G352</f>
        <v>0</v>
      </c>
      <c r="H351" s="283">
        <f t="shared" si="158"/>
        <v>0</v>
      </c>
      <c r="I351" s="283">
        <f t="shared" si="158"/>
        <v>0</v>
      </c>
      <c r="J351" s="283">
        <f t="shared" si="158"/>
        <v>0</v>
      </c>
      <c r="K351" s="283">
        <f t="shared" si="158"/>
        <v>0</v>
      </c>
      <c r="L351" s="283">
        <f t="shared" si="158"/>
        <v>0</v>
      </c>
      <c r="M351" s="568">
        <f t="shared" si="158"/>
        <v>0</v>
      </c>
      <c r="N351" s="568">
        <f t="shared" si="158"/>
        <v>0</v>
      </c>
      <c r="O351" s="569">
        <f t="shared" si="158"/>
        <v>0</v>
      </c>
      <c r="P351" s="569">
        <f t="shared" si="158"/>
        <v>0</v>
      </c>
      <c r="Q351" s="569">
        <f t="shared" si="158"/>
        <v>0</v>
      </c>
      <c r="R351" s="569">
        <f t="shared" si="158"/>
        <v>0</v>
      </c>
      <c r="S351" s="132">
        <f t="shared" si="128"/>
        <v>0</v>
      </c>
    </row>
    <row r="352" spans="1:19" s="77" customFormat="1" ht="31.15" hidden="1" x14ac:dyDescent="0.3">
      <c r="A352" s="267" t="s">
        <v>784</v>
      </c>
      <c r="B352" s="497" t="s">
        <v>70</v>
      </c>
      <c r="C352" s="496" t="s">
        <v>58</v>
      </c>
      <c r="D352" s="497" t="s">
        <v>36</v>
      </c>
      <c r="E352" s="285" t="s">
        <v>380</v>
      </c>
      <c r="F352" s="497" t="s">
        <v>9</v>
      </c>
      <c r="G352" s="283">
        <f t="shared" ref="G352:R352" si="159">G353+G356</f>
        <v>0</v>
      </c>
      <c r="H352" s="283">
        <f t="shared" si="159"/>
        <v>0</v>
      </c>
      <c r="I352" s="283">
        <f t="shared" si="159"/>
        <v>0</v>
      </c>
      <c r="J352" s="283">
        <f t="shared" si="159"/>
        <v>0</v>
      </c>
      <c r="K352" s="283">
        <f t="shared" si="159"/>
        <v>0</v>
      </c>
      <c r="L352" s="283">
        <f t="shared" si="159"/>
        <v>0</v>
      </c>
      <c r="M352" s="568">
        <f t="shared" si="159"/>
        <v>0</v>
      </c>
      <c r="N352" s="568">
        <f t="shared" si="159"/>
        <v>0</v>
      </c>
      <c r="O352" s="569">
        <f t="shared" si="159"/>
        <v>0</v>
      </c>
      <c r="P352" s="569">
        <f t="shared" si="159"/>
        <v>0</v>
      </c>
      <c r="Q352" s="569">
        <f t="shared" si="159"/>
        <v>0</v>
      </c>
      <c r="R352" s="569">
        <f t="shared" si="159"/>
        <v>0</v>
      </c>
      <c r="S352" s="132">
        <f t="shared" si="128"/>
        <v>0</v>
      </c>
    </row>
    <row r="353" spans="1:19" s="77" customFormat="1" ht="46.9" hidden="1" x14ac:dyDescent="0.3">
      <c r="A353" s="267" t="s">
        <v>41</v>
      </c>
      <c r="B353" s="497" t="s">
        <v>70</v>
      </c>
      <c r="C353" s="496" t="s">
        <v>58</v>
      </c>
      <c r="D353" s="497" t="s">
        <v>36</v>
      </c>
      <c r="E353" s="285" t="s">
        <v>414</v>
      </c>
      <c r="F353" s="497" t="s">
        <v>9</v>
      </c>
      <c r="G353" s="283">
        <f t="shared" ref="G353:R354" si="160">G354</f>
        <v>0</v>
      </c>
      <c r="H353" s="283">
        <f t="shared" si="160"/>
        <v>0</v>
      </c>
      <c r="I353" s="283">
        <f t="shared" si="160"/>
        <v>0</v>
      </c>
      <c r="J353" s="283">
        <f t="shared" si="160"/>
        <v>0</v>
      </c>
      <c r="K353" s="283">
        <f t="shared" si="160"/>
        <v>0</v>
      </c>
      <c r="L353" s="283">
        <f t="shared" si="160"/>
        <v>0</v>
      </c>
      <c r="M353" s="568">
        <f t="shared" si="160"/>
        <v>0</v>
      </c>
      <c r="N353" s="568">
        <f t="shared" si="160"/>
        <v>0</v>
      </c>
      <c r="O353" s="569">
        <f t="shared" si="160"/>
        <v>0</v>
      </c>
      <c r="P353" s="569">
        <f t="shared" si="160"/>
        <v>0</v>
      </c>
      <c r="Q353" s="569">
        <f t="shared" si="160"/>
        <v>0</v>
      </c>
      <c r="R353" s="569">
        <f t="shared" si="160"/>
        <v>0</v>
      </c>
      <c r="S353" s="132">
        <f t="shared" si="128"/>
        <v>0</v>
      </c>
    </row>
    <row r="354" spans="1:19" s="77" customFormat="1" ht="15.6" hidden="1" x14ac:dyDescent="0.3">
      <c r="A354" s="267" t="s">
        <v>353</v>
      </c>
      <c r="B354" s="497" t="s">
        <v>70</v>
      </c>
      <c r="C354" s="496" t="s">
        <v>58</v>
      </c>
      <c r="D354" s="497" t="s">
        <v>36</v>
      </c>
      <c r="E354" s="285" t="s">
        <v>415</v>
      </c>
      <c r="F354" s="497" t="s">
        <v>9</v>
      </c>
      <c r="G354" s="283">
        <f t="shared" si="160"/>
        <v>0</v>
      </c>
      <c r="H354" s="283">
        <f t="shared" si="160"/>
        <v>0</v>
      </c>
      <c r="I354" s="283">
        <f t="shared" si="160"/>
        <v>0</v>
      </c>
      <c r="J354" s="283">
        <f t="shared" si="160"/>
        <v>0</v>
      </c>
      <c r="K354" s="283">
        <f t="shared" si="160"/>
        <v>0</v>
      </c>
      <c r="L354" s="283">
        <f t="shared" si="160"/>
        <v>0</v>
      </c>
      <c r="M354" s="568">
        <f t="shared" si="160"/>
        <v>0</v>
      </c>
      <c r="N354" s="568">
        <f t="shared" si="160"/>
        <v>0</v>
      </c>
      <c r="O354" s="569">
        <f t="shared" si="160"/>
        <v>0</v>
      </c>
      <c r="P354" s="569">
        <f t="shared" si="160"/>
        <v>0</v>
      </c>
      <c r="Q354" s="569">
        <f t="shared" si="160"/>
        <v>0</v>
      </c>
      <c r="R354" s="569">
        <f t="shared" si="160"/>
        <v>0</v>
      </c>
      <c r="S354" s="132">
        <f t="shared" si="128"/>
        <v>0</v>
      </c>
    </row>
    <row r="355" spans="1:19" s="77" customFormat="1" ht="31.15" hidden="1" x14ac:dyDescent="0.3">
      <c r="A355" s="264" t="s">
        <v>124</v>
      </c>
      <c r="B355" s="380" t="s">
        <v>70</v>
      </c>
      <c r="C355" s="488" t="s">
        <v>58</v>
      </c>
      <c r="D355" s="380" t="s">
        <v>36</v>
      </c>
      <c r="E355" s="265" t="s">
        <v>415</v>
      </c>
      <c r="F355" s="380" t="s">
        <v>117</v>
      </c>
      <c r="G355" s="282"/>
      <c r="H355" s="282"/>
      <c r="I355" s="265"/>
      <c r="J355" s="265"/>
      <c r="K355" s="265"/>
      <c r="L355" s="265"/>
      <c r="M355" s="570"/>
      <c r="N355" s="570"/>
      <c r="O355" s="571"/>
      <c r="P355" s="571"/>
      <c r="Q355" s="571"/>
      <c r="R355" s="571"/>
      <c r="S355" s="131">
        <f t="shared" si="128"/>
        <v>0</v>
      </c>
    </row>
    <row r="356" spans="1:19" s="80" customFormat="1" ht="31.15" hidden="1" x14ac:dyDescent="0.3">
      <c r="A356" s="267" t="s">
        <v>68</v>
      </c>
      <c r="B356" s="497" t="s">
        <v>70</v>
      </c>
      <c r="C356" s="496" t="s">
        <v>58</v>
      </c>
      <c r="D356" s="497" t="s">
        <v>36</v>
      </c>
      <c r="E356" s="285" t="s">
        <v>404</v>
      </c>
      <c r="F356" s="497" t="s">
        <v>9</v>
      </c>
      <c r="G356" s="283">
        <f t="shared" ref="G356:R356" si="161">G357</f>
        <v>0</v>
      </c>
      <c r="H356" s="283">
        <f t="shared" si="161"/>
        <v>0</v>
      </c>
      <c r="I356" s="283">
        <f t="shared" si="161"/>
        <v>0</v>
      </c>
      <c r="J356" s="283">
        <f t="shared" si="161"/>
        <v>0</v>
      </c>
      <c r="K356" s="283">
        <f t="shared" si="161"/>
        <v>0</v>
      </c>
      <c r="L356" s="283">
        <f t="shared" si="161"/>
        <v>0</v>
      </c>
      <c r="M356" s="568">
        <f t="shared" si="161"/>
        <v>0</v>
      </c>
      <c r="N356" s="568">
        <f t="shared" si="161"/>
        <v>0</v>
      </c>
      <c r="O356" s="569">
        <f t="shared" si="161"/>
        <v>0</v>
      </c>
      <c r="P356" s="569">
        <f t="shared" si="161"/>
        <v>0</v>
      </c>
      <c r="Q356" s="569">
        <f t="shared" si="161"/>
        <v>0</v>
      </c>
      <c r="R356" s="569">
        <f t="shared" si="161"/>
        <v>0</v>
      </c>
      <c r="S356" s="132">
        <f t="shared" si="128"/>
        <v>0</v>
      </c>
    </row>
    <row r="357" spans="1:19" s="77" customFormat="1" ht="31.15" hidden="1" x14ac:dyDescent="0.3">
      <c r="A357" s="264" t="s">
        <v>124</v>
      </c>
      <c r="B357" s="380" t="s">
        <v>70</v>
      </c>
      <c r="C357" s="488" t="s">
        <v>58</v>
      </c>
      <c r="D357" s="380" t="s">
        <v>36</v>
      </c>
      <c r="E357" s="265" t="s">
        <v>404</v>
      </c>
      <c r="F357" s="380" t="s">
        <v>117</v>
      </c>
      <c r="G357" s="282"/>
      <c r="H357" s="282"/>
      <c r="I357" s="265"/>
      <c r="J357" s="265"/>
      <c r="K357" s="265"/>
      <c r="L357" s="265"/>
      <c r="M357" s="570"/>
      <c r="N357" s="570"/>
      <c r="O357" s="571"/>
      <c r="P357" s="571"/>
      <c r="Q357" s="571"/>
      <c r="R357" s="571"/>
      <c r="S357" s="131">
        <f t="shared" si="128"/>
        <v>0</v>
      </c>
    </row>
    <row r="358" spans="1:19" s="77" customFormat="1" ht="15.6" hidden="1" x14ac:dyDescent="0.3">
      <c r="A358" s="264" t="s">
        <v>30</v>
      </c>
      <c r="B358" s="380" t="s">
        <v>70</v>
      </c>
      <c r="C358" s="488" t="s">
        <v>31</v>
      </c>
      <c r="D358" s="380" t="s">
        <v>10</v>
      </c>
      <c r="E358" s="265" t="s">
        <v>365</v>
      </c>
      <c r="F358" s="380" t="s">
        <v>9</v>
      </c>
      <c r="G358" s="282">
        <f t="shared" ref="G358:R358" si="162">G366+G359</f>
        <v>0</v>
      </c>
      <c r="H358" s="282">
        <f t="shared" si="162"/>
        <v>0</v>
      </c>
      <c r="I358" s="282">
        <f t="shared" si="162"/>
        <v>0</v>
      </c>
      <c r="J358" s="282">
        <f t="shared" si="162"/>
        <v>0</v>
      </c>
      <c r="K358" s="282">
        <f t="shared" si="162"/>
        <v>0</v>
      </c>
      <c r="L358" s="282">
        <f t="shared" si="162"/>
        <v>0</v>
      </c>
      <c r="M358" s="566">
        <f t="shared" si="162"/>
        <v>0</v>
      </c>
      <c r="N358" s="566">
        <f t="shared" si="162"/>
        <v>0</v>
      </c>
      <c r="O358" s="567">
        <f t="shared" si="162"/>
        <v>0</v>
      </c>
      <c r="P358" s="567">
        <f t="shared" si="162"/>
        <v>0</v>
      </c>
      <c r="Q358" s="567">
        <f t="shared" si="162"/>
        <v>0</v>
      </c>
      <c r="R358" s="567">
        <f t="shared" si="162"/>
        <v>0</v>
      </c>
      <c r="S358" s="131">
        <f t="shared" ref="S358:S421" si="163">G358+H358+I358+J358+K358+L358+M358+N358+O358+P358+Q358+R358</f>
        <v>0</v>
      </c>
    </row>
    <row r="359" spans="1:19" s="80" customFormat="1" ht="31.15" hidden="1" x14ac:dyDescent="0.3">
      <c r="A359" s="264" t="s">
        <v>57</v>
      </c>
      <c r="B359" s="380" t="s">
        <v>70</v>
      </c>
      <c r="C359" s="488" t="s">
        <v>31</v>
      </c>
      <c r="D359" s="380" t="s">
        <v>58</v>
      </c>
      <c r="E359" s="265" t="s">
        <v>365</v>
      </c>
      <c r="F359" s="380" t="s">
        <v>9</v>
      </c>
      <c r="G359" s="282">
        <f t="shared" ref="G359:R359" si="164">G360</f>
        <v>0</v>
      </c>
      <c r="H359" s="282">
        <f t="shared" si="164"/>
        <v>0</v>
      </c>
      <c r="I359" s="282">
        <f t="shared" si="164"/>
        <v>0</v>
      </c>
      <c r="J359" s="282">
        <f t="shared" si="164"/>
        <v>0</v>
      </c>
      <c r="K359" s="282">
        <f t="shared" si="164"/>
        <v>0</v>
      </c>
      <c r="L359" s="282">
        <f t="shared" si="164"/>
        <v>0</v>
      </c>
      <c r="M359" s="566">
        <f t="shared" si="164"/>
        <v>0</v>
      </c>
      <c r="N359" s="566">
        <f t="shared" si="164"/>
        <v>0</v>
      </c>
      <c r="O359" s="567">
        <f t="shared" si="164"/>
        <v>0</v>
      </c>
      <c r="P359" s="567">
        <f t="shared" si="164"/>
        <v>0</v>
      </c>
      <c r="Q359" s="567">
        <f t="shared" si="164"/>
        <v>0</v>
      </c>
      <c r="R359" s="567">
        <f t="shared" si="164"/>
        <v>0</v>
      </c>
      <c r="S359" s="131">
        <f t="shared" si="163"/>
        <v>0</v>
      </c>
    </row>
    <row r="360" spans="1:19" s="80" customFormat="1" ht="31.15" hidden="1" x14ac:dyDescent="0.3">
      <c r="A360" s="267" t="s">
        <v>784</v>
      </c>
      <c r="B360" s="497" t="s">
        <v>70</v>
      </c>
      <c r="C360" s="496" t="s">
        <v>31</v>
      </c>
      <c r="D360" s="497" t="s">
        <v>58</v>
      </c>
      <c r="E360" s="285" t="s">
        <v>380</v>
      </c>
      <c r="F360" s="497" t="s">
        <v>9</v>
      </c>
      <c r="G360" s="283">
        <f t="shared" ref="G360:R360" si="165">G361+G364</f>
        <v>0</v>
      </c>
      <c r="H360" s="283">
        <f t="shared" si="165"/>
        <v>0</v>
      </c>
      <c r="I360" s="283">
        <f t="shared" si="165"/>
        <v>0</v>
      </c>
      <c r="J360" s="283">
        <f t="shared" si="165"/>
        <v>0</v>
      </c>
      <c r="K360" s="283">
        <f t="shared" si="165"/>
        <v>0</v>
      </c>
      <c r="L360" s="283">
        <f t="shared" si="165"/>
        <v>0</v>
      </c>
      <c r="M360" s="568">
        <f t="shared" si="165"/>
        <v>0</v>
      </c>
      <c r="N360" s="568">
        <f t="shared" si="165"/>
        <v>0</v>
      </c>
      <c r="O360" s="569">
        <f t="shared" si="165"/>
        <v>0</v>
      </c>
      <c r="P360" s="569">
        <f t="shared" si="165"/>
        <v>0</v>
      </c>
      <c r="Q360" s="569">
        <f t="shared" si="165"/>
        <v>0</v>
      </c>
      <c r="R360" s="569">
        <f t="shared" si="165"/>
        <v>0</v>
      </c>
      <c r="S360" s="132">
        <f t="shared" si="163"/>
        <v>0</v>
      </c>
    </row>
    <row r="361" spans="1:19" s="80" customFormat="1" ht="46.9" hidden="1" x14ac:dyDescent="0.3">
      <c r="A361" s="267" t="s">
        <v>41</v>
      </c>
      <c r="B361" s="497" t="s">
        <v>70</v>
      </c>
      <c r="C361" s="496" t="s">
        <v>31</v>
      </c>
      <c r="D361" s="497" t="s">
        <v>58</v>
      </c>
      <c r="E361" s="285" t="s">
        <v>414</v>
      </c>
      <c r="F361" s="497" t="s">
        <v>9</v>
      </c>
      <c r="G361" s="283">
        <f t="shared" ref="G361:R361" si="166">G363</f>
        <v>0</v>
      </c>
      <c r="H361" s="283">
        <f t="shared" si="166"/>
        <v>0</v>
      </c>
      <c r="I361" s="283">
        <f t="shared" si="166"/>
        <v>0</v>
      </c>
      <c r="J361" s="283">
        <f t="shared" si="166"/>
        <v>0</v>
      </c>
      <c r="K361" s="283">
        <f t="shared" si="166"/>
        <v>0</v>
      </c>
      <c r="L361" s="283">
        <f t="shared" si="166"/>
        <v>0</v>
      </c>
      <c r="M361" s="568">
        <f t="shared" si="166"/>
        <v>0</v>
      </c>
      <c r="N361" s="568">
        <f t="shared" si="166"/>
        <v>0</v>
      </c>
      <c r="O361" s="569">
        <f t="shared" si="166"/>
        <v>0</v>
      </c>
      <c r="P361" s="569">
        <f t="shared" si="166"/>
        <v>0</v>
      </c>
      <c r="Q361" s="569">
        <f t="shared" si="166"/>
        <v>0</v>
      </c>
      <c r="R361" s="569">
        <f t="shared" si="166"/>
        <v>0</v>
      </c>
      <c r="S361" s="132">
        <f t="shared" si="163"/>
        <v>0</v>
      </c>
    </row>
    <row r="362" spans="1:19" s="80" customFormat="1" ht="31.15" hidden="1" x14ac:dyDescent="0.3">
      <c r="A362" s="267" t="s">
        <v>848</v>
      </c>
      <c r="B362" s="497" t="s">
        <v>70</v>
      </c>
      <c r="C362" s="496" t="s">
        <v>31</v>
      </c>
      <c r="D362" s="497" t="s">
        <v>58</v>
      </c>
      <c r="E362" s="285" t="s">
        <v>707</v>
      </c>
      <c r="F362" s="497" t="s">
        <v>9</v>
      </c>
      <c r="G362" s="283">
        <f t="shared" ref="G362:R362" si="167">G363</f>
        <v>0</v>
      </c>
      <c r="H362" s="283">
        <f t="shared" si="167"/>
        <v>0</v>
      </c>
      <c r="I362" s="283">
        <f t="shared" si="167"/>
        <v>0</v>
      </c>
      <c r="J362" s="283">
        <f t="shared" si="167"/>
        <v>0</v>
      </c>
      <c r="K362" s="283">
        <f t="shared" si="167"/>
        <v>0</v>
      </c>
      <c r="L362" s="283">
        <f t="shared" si="167"/>
        <v>0</v>
      </c>
      <c r="M362" s="568">
        <f t="shared" si="167"/>
        <v>0</v>
      </c>
      <c r="N362" s="568">
        <f t="shared" si="167"/>
        <v>0</v>
      </c>
      <c r="O362" s="569">
        <f t="shared" si="167"/>
        <v>0</v>
      </c>
      <c r="P362" s="569">
        <f t="shared" si="167"/>
        <v>0</v>
      </c>
      <c r="Q362" s="569">
        <f t="shared" si="167"/>
        <v>0</v>
      </c>
      <c r="R362" s="569">
        <f t="shared" si="167"/>
        <v>0</v>
      </c>
      <c r="S362" s="132">
        <f t="shared" si="163"/>
        <v>0</v>
      </c>
    </row>
    <row r="363" spans="1:19" s="77" customFormat="1" ht="31.15" hidden="1" x14ac:dyDescent="0.3">
      <c r="A363" s="264" t="s">
        <v>124</v>
      </c>
      <c r="B363" s="380" t="s">
        <v>70</v>
      </c>
      <c r="C363" s="488" t="s">
        <v>31</v>
      </c>
      <c r="D363" s="380" t="s">
        <v>58</v>
      </c>
      <c r="E363" s="265" t="s">
        <v>707</v>
      </c>
      <c r="F363" s="380" t="s">
        <v>117</v>
      </c>
      <c r="G363" s="282"/>
      <c r="H363" s="282"/>
      <c r="I363" s="265"/>
      <c r="J363" s="265"/>
      <c r="K363" s="265"/>
      <c r="L363" s="265"/>
      <c r="M363" s="570"/>
      <c r="N363" s="570"/>
      <c r="O363" s="571"/>
      <c r="P363" s="571"/>
      <c r="Q363" s="571"/>
      <c r="R363" s="571"/>
      <c r="S363" s="131">
        <f t="shared" si="163"/>
        <v>0</v>
      </c>
    </row>
    <row r="364" spans="1:19" s="77" customFormat="1" ht="31.15" hidden="1" x14ac:dyDescent="0.3">
      <c r="A364" s="267" t="s">
        <v>848</v>
      </c>
      <c r="B364" s="497" t="s">
        <v>70</v>
      </c>
      <c r="C364" s="496" t="s">
        <v>31</v>
      </c>
      <c r="D364" s="497" t="s">
        <v>58</v>
      </c>
      <c r="E364" s="285" t="s">
        <v>708</v>
      </c>
      <c r="F364" s="497" t="s">
        <v>9</v>
      </c>
      <c r="G364" s="283">
        <f t="shared" ref="G364:R364" si="168">G365</f>
        <v>0</v>
      </c>
      <c r="H364" s="283">
        <f t="shared" si="168"/>
        <v>0</v>
      </c>
      <c r="I364" s="283">
        <f t="shared" si="168"/>
        <v>0</v>
      </c>
      <c r="J364" s="283">
        <f t="shared" si="168"/>
        <v>0</v>
      </c>
      <c r="K364" s="283">
        <f t="shared" si="168"/>
        <v>0</v>
      </c>
      <c r="L364" s="283">
        <f t="shared" si="168"/>
        <v>0</v>
      </c>
      <c r="M364" s="568">
        <f t="shared" si="168"/>
        <v>0</v>
      </c>
      <c r="N364" s="568">
        <f t="shared" si="168"/>
        <v>0</v>
      </c>
      <c r="O364" s="569">
        <f t="shared" si="168"/>
        <v>0</v>
      </c>
      <c r="P364" s="569">
        <f t="shared" si="168"/>
        <v>0</v>
      </c>
      <c r="Q364" s="569">
        <f t="shared" si="168"/>
        <v>0</v>
      </c>
      <c r="R364" s="569">
        <f t="shared" si="168"/>
        <v>0</v>
      </c>
      <c r="S364" s="132">
        <f t="shared" si="163"/>
        <v>0</v>
      </c>
    </row>
    <row r="365" spans="1:19" s="77" customFormat="1" ht="31.15" hidden="1" x14ac:dyDescent="0.3">
      <c r="A365" s="264" t="s">
        <v>124</v>
      </c>
      <c r="B365" s="380" t="s">
        <v>70</v>
      </c>
      <c r="C365" s="488" t="s">
        <v>31</v>
      </c>
      <c r="D365" s="380" t="s">
        <v>58</v>
      </c>
      <c r="E365" s="265" t="s">
        <v>708</v>
      </c>
      <c r="F365" s="380" t="s">
        <v>117</v>
      </c>
      <c r="G365" s="282"/>
      <c r="H365" s="282"/>
      <c r="I365" s="265"/>
      <c r="J365" s="265"/>
      <c r="K365" s="265"/>
      <c r="L365" s="265"/>
      <c r="M365" s="570"/>
      <c r="N365" s="570"/>
      <c r="O365" s="571"/>
      <c r="P365" s="571"/>
      <c r="Q365" s="571"/>
      <c r="R365" s="571"/>
      <c r="S365" s="131">
        <f t="shared" si="163"/>
        <v>0</v>
      </c>
    </row>
    <row r="366" spans="1:19" s="80" customFormat="1" ht="15.6" hidden="1" x14ac:dyDescent="0.3">
      <c r="A366" s="264" t="s">
        <v>17</v>
      </c>
      <c r="B366" s="380" t="s">
        <v>70</v>
      </c>
      <c r="C366" s="488" t="s">
        <v>18</v>
      </c>
      <c r="D366" s="380" t="s">
        <v>10</v>
      </c>
      <c r="E366" s="265" t="s">
        <v>365</v>
      </c>
      <c r="F366" s="380" t="s">
        <v>9</v>
      </c>
      <c r="G366" s="282">
        <f t="shared" ref="G366:R370" si="169">G367</f>
        <v>0</v>
      </c>
      <c r="H366" s="282">
        <f t="shared" si="169"/>
        <v>0</v>
      </c>
      <c r="I366" s="282">
        <f t="shared" si="169"/>
        <v>0</v>
      </c>
      <c r="J366" s="282">
        <f t="shared" si="169"/>
        <v>0</v>
      </c>
      <c r="K366" s="282">
        <f t="shared" si="169"/>
        <v>0</v>
      </c>
      <c r="L366" s="282">
        <f t="shared" si="169"/>
        <v>0</v>
      </c>
      <c r="M366" s="566">
        <f t="shared" si="169"/>
        <v>0</v>
      </c>
      <c r="N366" s="566">
        <f t="shared" si="169"/>
        <v>0</v>
      </c>
      <c r="O366" s="567">
        <f t="shared" si="169"/>
        <v>0</v>
      </c>
      <c r="P366" s="567">
        <f t="shared" si="169"/>
        <v>0</v>
      </c>
      <c r="Q366" s="567">
        <f t="shared" si="169"/>
        <v>0</v>
      </c>
      <c r="R366" s="567">
        <f t="shared" si="169"/>
        <v>0</v>
      </c>
      <c r="S366" s="131">
        <f t="shared" si="163"/>
        <v>0</v>
      </c>
    </row>
    <row r="367" spans="1:19" s="80" customFormat="1" ht="15.6" hidden="1" x14ac:dyDescent="0.3">
      <c r="A367" s="267" t="s">
        <v>47</v>
      </c>
      <c r="B367" s="497" t="s">
        <v>70</v>
      </c>
      <c r="C367" s="496" t="s">
        <v>18</v>
      </c>
      <c r="D367" s="497" t="s">
        <v>25</v>
      </c>
      <c r="E367" s="285" t="s">
        <v>365</v>
      </c>
      <c r="F367" s="497" t="s">
        <v>9</v>
      </c>
      <c r="G367" s="283">
        <f t="shared" si="169"/>
        <v>0</v>
      </c>
      <c r="H367" s="283">
        <f t="shared" si="169"/>
        <v>0</v>
      </c>
      <c r="I367" s="283">
        <f t="shared" si="169"/>
        <v>0</v>
      </c>
      <c r="J367" s="283">
        <f t="shared" si="169"/>
        <v>0</v>
      </c>
      <c r="K367" s="283">
        <f t="shared" si="169"/>
        <v>0</v>
      </c>
      <c r="L367" s="283">
        <f t="shared" si="169"/>
        <v>0</v>
      </c>
      <c r="M367" s="568">
        <f t="shared" si="169"/>
        <v>0</v>
      </c>
      <c r="N367" s="568">
        <f t="shared" si="169"/>
        <v>0</v>
      </c>
      <c r="O367" s="569">
        <f t="shared" si="169"/>
        <v>0</v>
      </c>
      <c r="P367" s="569">
        <f t="shared" si="169"/>
        <v>0</v>
      </c>
      <c r="Q367" s="569">
        <f t="shared" si="169"/>
        <v>0</v>
      </c>
      <c r="R367" s="569">
        <f t="shared" si="169"/>
        <v>0</v>
      </c>
      <c r="S367" s="132">
        <f t="shared" si="163"/>
        <v>0</v>
      </c>
    </row>
    <row r="368" spans="1:19" s="80" customFormat="1" ht="31.15" hidden="1" x14ac:dyDescent="0.3">
      <c r="A368" s="267" t="s">
        <v>865</v>
      </c>
      <c r="B368" s="497" t="s">
        <v>70</v>
      </c>
      <c r="C368" s="496" t="s">
        <v>18</v>
      </c>
      <c r="D368" s="497" t="s">
        <v>25</v>
      </c>
      <c r="E368" s="285" t="s">
        <v>405</v>
      </c>
      <c r="F368" s="497" t="s">
        <v>9</v>
      </c>
      <c r="G368" s="283">
        <f t="shared" si="169"/>
        <v>0</v>
      </c>
      <c r="H368" s="283">
        <f t="shared" si="169"/>
        <v>0</v>
      </c>
      <c r="I368" s="283">
        <f t="shared" si="169"/>
        <v>0</v>
      </c>
      <c r="J368" s="283">
        <f t="shared" si="169"/>
        <v>0</v>
      </c>
      <c r="K368" s="283">
        <f t="shared" si="169"/>
        <v>0</v>
      </c>
      <c r="L368" s="283">
        <f t="shared" si="169"/>
        <v>0</v>
      </c>
      <c r="M368" s="568">
        <f t="shared" si="169"/>
        <v>0</v>
      </c>
      <c r="N368" s="568">
        <f t="shared" si="169"/>
        <v>0</v>
      </c>
      <c r="O368" s="569">
        <f t="shared" si="169"/>
        <v>0</v>
      </c>
      <c r="P368" s="569">
        <f t="shared" si="169"/>
        <v>0</v>
      </c>
      <c r="Q368" s="569">
        <f t="shared" si="169"/>
        <v>0</v>
      </c>
      <c r="R368" s="569">
        <f t="shared" si="169"/>
        <v>0</v>
      </c>
      <c r="S368" s="132">
        <f t="shared" si="163"/>
        <v>0</v>
      </c>
    </row>
    <row r="369" spans="1:19" s="80" customFormat="1" ht="46.9" hidden="1" x14ac:dyDescent="0.3">
      <c r="A369" s="267" t="s">
        <v>572</v>
      </c>
      <c r="B369" s="497" t="s">
        <v>70</v>
      </c>
      <c r="C369" s="496" t="s">
        <v>18</v>
      </c>
      <c r="D369" s="497" t="s">
        <v>25</v>
      </c>
      <c r="E369" s="285" t="s">
        <v>408</v>
      </c>
      <c r="F369" s="497" t="s">
        <v>9</v>
      </c>
      <c r="G369" s="283">
        <f t="shared" si="169"/>
        <v>0</v>
      </c>
      <c r="H369" s="283">
        <f t="shared" si="169"/>
        <v>0</v>
      </c>
      <c r="I369" s="283">
        <f t="shared" si="169"/>
        <v>0</v>
      </c>
      <c r="J369" s="283">
        <f t="shared" si="169"/>
        <v>0</v>
      </c>
      <c r="K369" s="283">
        <f t="shared" si="169"/>
        <v>0</v>
      </c>
      <c r="L369" s="283">
        <f t="shared" si="169"/>
        <v>0</v>
      </c>
      <c r="M369" s="568">
        <f t="shared" si="169"/>
        <v>0</v>
      </c>
      <c r="N369" s="568">
        <f t="shared" si="169"/>
        <v>0</v>
      </c>
      <c r="O369" s="569">
        <f t="shared" si="169"/>
        <v>0</v>
      </c>
      <c r="P369" s="569">
        <f t="shared" si="169"/>
        <v>0</v>
      </c>
      <c r="Q369" s="569">
        <f t="shared" si="169"/>
        <v>0</v>
      </c>
      <c r="R369" s="569">
        <f t="shared" si="169"/>
        <v>0</v>
      </c>
      <c r="S369" s="132">
        <f t="shared" si="163"/>
        <v>0</v>
      </c>
    </row>
    <row r="370" spans="1:19" s="77" customFormat="1" ht="15.6" hidden="1" x14ac:dyDescent="0.3">
      <c r="A370" s="267" t="s">
        <v>26</v>
      </c>
      <c r="B370" s="497" t="s">
        <v>70</v>
      </c>
      <c r="C370" s="496" t="s">
        <v>18</v>
      </c>
      <c r="D370" s="497" t="s">
        <v>25</v>
      </c>
      <c r="E370" s="285" t="s">
        <v>409</v>
      </c>
      <c r="F370" s="497" t="s">
        <v>9</v>
      </c>
      <c r="G370" s="283">
        <f t="shared" si="169"/>
        <v>0</v>
      </c>
      <c r="H370" s="283">
        <f t="shared" si="169"/>
        <v>0</v>
      </c>
      <c r="I370" s="283">
        <f t="shared" si="169"/>
        <v>0</v>
      </c>
      <c r="J370" s="283">
        <f t="shared" si="169"/>
        <v>0</v>
      </c>
      <c r="K370" s="283">
        <f t="shared" si="169"/>
        <v>0</v>
      </c>
      <c r="L370" s="283">
        <f t="shared" si="169"/>
        <v>0</v>
      </c>
      <c r="M370" s="568">
        <f t="shared" si="169"/>
        <v>0</v>
      </c>
      <c r="N370" s="568">
        <f t="shared" si="169"/>
        <v>0</v>
      </c>
      <c r="O370" s="569">
        <f t="shared" si="169"/>
        <v>0</v>
      </c>
      <c r="P370" s="569">
        <f t="shared" si="169"/>
        <v>0</v>
      </c>
      <c r="Q370" s="569">
        <f t="shared" si="169"/>
        <v>0</v>
      </c>
      <c r="R370" s="569">
        <f t="shared" si="169"/>
        <v>0</v>
      </c>
      <c r="S370" s="132">
        <f t="shared" si="163"/>
        <v>0</v>
      </c>
    </row>
    <row r="371" spans="1:19" s="80" customFormat="1" ht="62.45" hidden="1" x14ac:dyDescent="0.3">
      <c r="A371" s="264" t="s">
        <v>115</v>
      </c>
      <c r="B371" s="380" t="s">
        <v>70</v>
      </c>
      <c r="C371" s="488" t="s">
        <v>18</v>
      </c>
      <c r="D371" s="380" t="s">
        <v>25</v>
      </c>
      <c r="E371" s="265" t="s">
        <v>409</v>
      </c>
      <c r="F371" s="380" t="s">
        <v>113</v>
      </c>
      <c r="G371" s="282"/>
      <c r="H371" s="282"/>
      <c r="I371" s="265"/>
      <c r="J371" s="265"/>
      <c r="K371" s="265"/>
      <c r="L371" s="265"/>
      <c r="M371" s="570"/>
      <c r="N371" s="570"/>
      <c r="O371" s="571"/>
      <c r="P371" s="571"/>
      <c r="Q371" s="571"/>
      <c r="R371" s="571"/>
      <c r="S371" s="131">
        <f t="shared" si="163"/>
        <v>0</v>
      </c>
    </row>
    <row r="372" spans="1:19" s="80" customFormat="1" ht="31.5" x14ac:dyDescent="0.25">
      <c r="A372" s="264" t="s">
        <v>75</v>
      </c>
      <c r="B372" s="380" t="s">
        <v>76</v>
      </c>
      <c r="C372" s="488" t="s">
        <v>10</v>
      </c>
      <c r="D372" s="380" t="s">
        <v>10</v>
      </c>
      <c r="E372" s="265" t="s">
        <v>365</v>
      </c>
      <c r="F372" s="380" t="s">
        <v>9</v>
      </c>
      <c r="G372" s="282">
        <f t="shared" ref="G372:R372" si="170">G373+G472+G506+G690+G711+G734+G775+G834+G618+G873</f>
        <v>166527.7346</v>
      </c>
      <c r="H372" s="303">
        <f t="shared" si="170"/>
        <v>146883.18539999999</v>
      </c>
      <c r="I372" s="282">
        <f t="shared" si="170"/>
        <v>-754.54316000000006</v>
      </c>
      <c r="J372" s="282">
        <f t="shared" si="170"/>
        <v>6768.505000000001</v>
      </c>
      <c r="K372" s="282">
        <f t="shared" si="170"/>
        <v>30634.688999999998</v>
      </c>
      <c r="L372" s="282">
        <f t="shared" si="170"/>
        <v>5503.3680199999999</v>
      </c>
      <c r="M372" s="603">
        <f t="shared" si="170"/>
        <v>18800.18</v>
      </c>
      <c r="N372" s="566">
        <f>N373+N472+N506+N690+N711+N734+N775+N834+N618+N873</f>
        <v>2908.3779999999997</v>
      </c>
      <c r="O372" s="131">
        <f t="shared" si="170"/>
        <v>0</v>
      </c>
      <c r="P372" s="131">
        <f t="shared" si="170"/>
        <v>0</v>
      </c>
      <c r="Q372" s="131">
        <f t="shared" si="170"/>
        <v>0</v>
      </c>
      <c r="R372" s="131">
        <f t="shared" si="170"/>
        <v>0</v>
      </c>
      <c r="S372" s="131">
        <f t="shared" si="163"/>
        <v>377271.49686000001</v>
      </c>
    </row>
    <row r="373" spans="1:19" s="80" customFormat="1" x14ac:dyDescent="0.25">
      <c r="A373" s="264" t="s">
        <v>23</v>
      </c>
      <c r="B373" s="380" t="s">
        <v>76</v>
      </c>
      <c r="C373" s="488" t="s">
        <v>14</v>
      </c>
      <c r="D373" s="380" t="s">
        <v>10</v>
      </c>
      <c r="E373" s="265" t="s">
        <v>365</v>
      </c>
      <c r="F373" s="380" t="s">
        <v>9</v>
      </c>
      <c r="G373" s="282">
        <f t="shared" ref="G373:R373" si="171">G379+G419+G374+G410+G414</f>
        <v>4578.7</v>
      </c>
      <c r="H373" s="303">
        <f t="shared" si="171"/>
        <v>49235.72</v>
      </c>
      <c r="I373" s="282">
        <f t="shared" si="171"/>
        <v>-4.4191600000000006</v>
      </c>
      <c r="J373" s="282">
        <f t="shared" si="171"/>
        <v>4525.2924999999996</v>
      </c>
      <c r="K373" s="282">
        <f t="shared" si="171"/>
        <v>817.59999999999991</v>
      </c>
      <c r="L373" s="282">
        <f t="shared" si="171"/>
        <v>2136.4226199999998</v>
      </c>
      <c r="M373" s="566">
        <f t="shared" si="171"/>
        <v>1161.7004999999999</v>
      </c>
      <c r="N373" s="566">
        <f t="shared" si="171"/>
        <v>1880.8594999999998</v>
      </c>
      <c r="O373" s="567">
        <f t="shared" si="171"/>
        <v>0</v>
      </c>
      <c r="P373" s="567">
        <f t="shared" si="171"/>
        <v>0</v>
      </c>
      <c r="Q373" s="567">
        <f t="shared" si="171"/>
        <v>0</v>
      </c>
      <c r="R373" s="567">
        <f t="shared" si="171"/>
        <v>0</v>
      </c>
      <c r="S373" s="131">
        <f t="shared" si="163"/>
        <v>64331.875959999998</v>
      </c>
    </row>
    <row r="374" spans="1:19" s="80" customFormat="1" ht="31.5" x14ac:dyDescent="0.25">
      <c r="A374" s="267" t="s">
        <v>102</v>
      </c>
      <c r="B374" s="497" t="s">
        <v>76</v>
      </c>
      <c r="C374" s="496" t="s">
        <v>14</v>
      </c>
      <c r="D374" s="497" t="s">
        <v>36</v>
      </c>
      <c r="E374" s="285" t="s">
        <v>365</v>
      </c>
      <c r="F374" s="497" t="s">
        <v>9</v>
      </c>
      <c r="G374" s="283">
        <f t="shared" ref="G374:R374" si="172">G375</f>
        <v>0</v>
      </c>
      <c r="H374" s="304">
        <f t="shared" si="172"/>
        <v>1479.3</v>
      </c>
      <c r="I374" s="283">
        <f t="shared" si="172"/>
        <v>0</v>
      </c>
      <c r="J374" s="283">
        <f t="shared" si="172"/>
        <v>0</v>
      </c>
      <c r="K374" s="283">
        <f t="shared" si="172"/>
        <v>0</v>
      </c>
      <c r="L374" s="283">
        <f t="shared" si="172"/>
        <v>0</v>
      </c>
      <c r="M374" s="568">
        <f t="shared" si="172"/>
        <v>0</v>
      </c>
      <c r="N374" s="568">
        <f t="shared" si="172"/>
        <v>0</v>
      </c>
      <c r="O374" s="569">
        <f t="shared" si="172"/>
        <v>0</v>
      </c>
      <c r="P374" s="569">
        <f t="shared" si="172"/>
        <v>0</v>
      </c>
      <c r="Q374" s="569">
        <f t="shared" si="172"/>
        <v>0</v>
      </c>
      <c r="R374" s="569">
        <f t="shared" si="172"/>
        <v>0</v>
      </c>
      <c r="S374" s="132">
        <f t="shared" si="163"/>
        <v>1479.3</v>
      </c>
    </row>
    <row r="375" spans="1:19" s="77" customFormat="1" ht="31.5" x14ac:dyDescent="0.25">
      <c r="A375" s="267" t="s">
        <v>784</v>
      </c>
      <c r="B375" s="497" t="s">
        <v>76</v>
      </c>
      <c r="C375" s="496" t="s">
        <v>14</v>
      </c>
      <c r="D375" s="497" t="s">
        <v>36</v>
      </c>
      <c r="E375" s="285" t="s">
        <v>380</v>
      </c>
      <c r="F375" s="497" t="s">
        <v>9</v>
      </c>
      <c r="G375" s="283">
        <f t="shared" ref="G375:R375" si="173">G377</f>
        <v>0</v>
      </c>
      <c r="H375" s="304">
        <f t="shared" si="173"/>
        <v>1479.3</v>
      </c>
      <c r="I375" s="283">
        <f t="shared" si="173"/>
        <v>0</v>
      </c>
      <c r="J375" s="283">
        <f t="shared" si="173"/>
        <v>0</v>
      </c>
      <c r="K375" s="283">
        <f t="shared" si="173"/>
        <v>0</v>
      </c>
      <c r="L375" s="283">
        <f t="shared" si="173"/>
        <v>0</v>
      </c>
      <c r="M375" s="568">
        <f t="shared" si="173"/>
        <v>0</v>
      </c>
      <c r="N375" s="568">
        <f t="shared" si="173"/>
        <v>0</v>
      </c>
      <c r="O375" s="569">
        <f t="shared" si="173"/>
        <v>0</v>
      </c>
      <c r="P375" s="569">
        <f t="shared" si="173"/>
        <v>0</v>
      </c>
      <c r="Q375" s="569">
        <f t="shared" si="173"/>
        <v>0</v>
      </c>
      <c r="R375" s="569">
        <f t="shared" si="173"/>
        <v>0</v>
      </c>
      <c r="S375" s="132">
        <f t="shared" si="163"/>
        <v>1479.3</v>
      </c>
    </row>
    <row r="376" spans="1:19" s="77" customFormat="1" ht="31.5" x14ac:dyDescent="0.25">
      <c r="A376" s="267" t="s">
        <v>568</v>
      </c>
      <c r="B376" s="497" t="s">
        <v>76</v>
      </c>
      <c r="C376" s="496" t="s">
        <v>14</v>
      </c>
      <c r="D376" s="497" t="s">
        <v>36</v>
      </c>
      <c r="E376" s="285" t="s">
        <v>421</v>
      </c>
      <c r="F376" s="497" t="s">
        <v>9</v>
      </c>
      <c r="G376" s="283">
        <f t="shared" ref="G376:R377" si="174">G377</f>
        <v>0</v>
      </c>
      <c r="H376" s="304">
        <f t="shared" si="174"/>
        <v>1479.3</v>
      </c>
      <c r="I376" s="283">
        <f t="shared" si="174"/>
        <v>0</v>
      </c>
      <c r="J376" s="283">
        <f t="shared" si="174"/>
        <v>0</v>
      </c>
      <c r="K376" s="283">
        <f t="shared" si="174"/>
        <v>0</v>
      </c>
      <c r="L376" s="283">
        <f t="shared" si="174"/>
        <v>0</v>
      </c>
      <c r="M376" s="568">
        <f t="shared" si="174"/>
        <v>0</v>
      </c>
      <c r="N376" s="568">
        <f t="shared" si="174"/>
        <v>0</v>
      </c>
      <c r="O376" s="569">
        <f t="shared" si="174"/>
        <v>0</v>
      </c>
      <c r="P376" s="569">
        <f t="shared" si="174"/>
        <v>0</v>
      </c>
      <c r="Q376" s="569">
        <f t="shared" si="174"/>
        <v>0</v>
      </c>
      <c r="R376" s="569">
        <f t="shared" si="174"/>
        <v>0</v>
      </c>
      <c r="S376" s="132">
        <f t="shared" si="163"/>
        <v>1479.3</v>
      </c>
    </row>
    <row r="377" spans="1:19" s="80" customFormat="1" x14ac:dyDescent="0.25">
      <c r="A377" s="267" t="s">
        <v>210</v>
      </c>
      <c r="B377" s="497" t="s">
        <v>76</v>
      </c>
      <c r="C377" s="496" t="s">
        <v>14</v>
      </c>
      <c r="D377" s="497" t="s">
        <v>36</v>
      </c>
      <c r="E377" s="285" t="s">
        <v>790</v>
      </c>
      <c r="F377" s="497" t="s">
        <v>9</v>
      </c>
      <c r="G377" s="283">
        <f t="shared" si="174"/>
        <v>0</v>
      </c>
      <c r="H377" s="304">
        <f t="shared" si="174"/>
        <v>1479.3</v>
      </c>
      <c r="I377" s="283">
        <f t="shared" si="174"/>
        <v>0</v>
      </c>
      <c r="J377" s="283">
        <f t="shared" si="174"/>
        <v>0</v>
      </c>
      <c r="K377" s="283">
        <f t="shared" si="174"/>
        <v>0</v>
      </c>
      <c r="L377" s="283">
        <f t="shared" si="174"/>
        <v>0</v>
      </c>
      <c r="M377" s="568">
        <f t="shared" si="174"/>
        <v>0</v>
      </c>
      <c r="N377" s="568">
        <f t="shared" si="174"/>
        <v>0</v>
      </c>
      <c r="O377" s="569">
        <f t="shared" si="174"/>
        <v>0</v>
      </c>
      <c r="P377" s="569">
        <f t="shared" si="174"/>
        <v>0</v>
      </c>
      <c r="Q377" s="569">
        <f t="shared" si="174"/>
        <v>0</v>
      </c>
      <c r="R377" s="569">
        <f t="shared" si="174"/>
        <v>0</v>
      </c>
      <c r="S377" s="132">
        <f t="shared" si="163"/>
        <v>1479.3</v>
      </c>
    </row>
    <row r="378" spans="1:19" s="80" customFormat="1" ht="63" x14ac:dyDescent="0.25">
      <c r="A378" s="264" t="s">
        <v>115</v>
      </c>
      <c r="B378" s="380" t="s">
        <v>76</v>
      </c>
      <c r="C378" s="488" t="s">
        <v>14</v>
      </c>
      <c r="D378" s="380" t="s">
        <v>36</v>
      </c>
      <c r="E378" s="265" t="s">
        <v>790</v>
      </c>
      <c r="F378" s="380" t="s">
        <v>113</v>
      </c>
      <c r="G378" s="282"/>
      <c r="H378" s="303">
        <v>1479.3</v>
      </c>
      <c r="I378" s="265"/>
      <c r="J378" s="265"/>
      <c r="K378" s="265"/>
      <c r="L378" s="265"/>
      <c r="M378" s="570"/>
      <c r="N378" s="570"/>
      <c r="O378" s="571"/>
      <c r="P378" s="571"/>
      <c r="Q378" s="571"/>
      <c r="R378" s="571"/>
      <c r="S378" s="566">
        <f t="shared" si="163"/>
        <v>1479.3</v>
      </c>
    </row>
    <row r="379" spans="1:19" s="80" customFormat="1" ht="47.25" x14ac:dyDescent="0.25">
      <c r="A379" s="267" t="s">
        <v>24</v>
      </c>
      <c r="B379" s="497" t="s">
        <v>76</v>
      </c>
      <c r="C379" s="496" t="s">
        <v>14</v>
      </c>
      <c r="D379" s="497" t="s">
        <v>25</v>
      </c>
      <c r="E379" s="285" t="s">
        <v>365</v>
      </c>
      <c r="F379" s="497" t="s">
        <v>9</v>
      </c>
      <c r="G379" s="283">
        <f t="shared" ref="G379:R379" si="175">G385+G380</f>
        <v>4451</v>
      </c>
      <c r="H379" s="304">
        <f t="shared" si="175"/>
        <v>24303.360000000001</v>
      </c>
      <c r="I379" s="283">
        <f t="shared" si="175"/>
        <v>0</v>
      </c>
      <c r="J379" s="283">
        <f t="shared" si="175"/>
        <v>0</v>
      </c>
      <c r="K379" s="283">
        <f t="shared" si="175"/>
        <v>0</v>
      </c>
      <c r="L379" s="283">
        <f t="shared" si="175"/>
        <v>0</v>
      </c>
      <c r="M379" s="568">
        <f t="shared" si="175"/>
        <v>0</v>
      </c>
      <c r="N379" s="568">
        <f t="shared" si="175"/>
        <v>0</v>
      </c>
      <c r="O379" s="569">
        <f t="shared" si="175"/>
        <v>0</v>
      </c>
      <c r="P379" s="569">
        <f t="shared" si="175"/>
        <v>0</v>
      </c>
      <c r="Q379" s="569">
        <f t="shared" si="175"/>
        <v>0</v>
      </c>
      <c r="R379" s="569">
        <f t="shared" si="175"/>
        <v>0</v>
      </c>
      <c r="S379" s="132">
        <f t="shared" si="163"/>
        <v>28754.36</v>
      </c>
    </row>
    <row r="380" spans="1:19" s="77" customFormat="1" ht="31.5" x14ac:dyDescent="0.25">
      <c r="A380" s="267" t="s">
        <v>787</v>
      </c>
      <c r="B380" s="497" t="s">
        <v>76</v>
      </c>
      <c r="C380" s="496" t="s">
        <v>14</v>
      </c>
      <c r="D380" s="497" t="s">
        <v>25</v>
      </c>
      <c r="E380" s="285" t="s">
        <v>495</v>
      </c>
      <c r="F380" s="497" t="s">
        <v>9</v>
      </c>
      <c r="G380" s="283">
        <f t="shared" ref="G380:R381" si="176">G381</f>
        <v>1100</v>
      </c>
      <c r="H380" s="304">
        <f t="shared" si="176"/>
        <v>0</v>
      </c>
      <c r="I380" s="283">
        <f t="shared" si="176"/>
        <v>0</v>
      </c>
      <c r="J380" s="283">
        <f t="shared" si="176"/>
        <v>0</v>
      </c>
      <c r="K380" s="283">
        <f t="shared" si="176"/>
        <v>0</v>
      </c>
      <c r="L380" s="283">
        <f t="shared" si="176"/>
        <v>0</v>
      </c>
      <c r="M380" s="568">
        <f t="shared" si="176"/>
        <v>0</v>
      </c>
      <c r="N380" s="568">
        <f t="shared" si="176"/>
        <v>0</v>
      </c>
      <c r="O380" s="569">
        <f t="shared" si="176"/>
        <v>0</v>
      </c>
      <c r="P380" s="569">
        <f t="shared" si="176"/>
        <v>0</v>
      </c>
      <c r="Q380" s="569">
        <f t="shared" si="176"/>
        <v>0</v>
      </c>
      <c r="R380" s="569">
        <f t="shared" si="176"/>
        <v>0</v>
      </c>
      <c r="S380" s="132">
        <f t="shared" si="163"/>
        <v>1100</v>
      </c>
    </row>
    <row r="381" spans="1:19" s="80" customFormat="1" ht="47.25" x14ac:dyDescent="0.25">
      <c r="A381" s="267" t="s">
        <v>1110</v>
      </c>
      <c r="B381" s="497" t="s">
        <v>76</v>
      </c>
      <c r="C381" s="496" t="s">
        <v>14</v>
      </c>
      <c r="D381" s="497" t="s">
        <v>25</v>
      </c>
      <c r="E381" s="285" t="s">
        <v>496</v>
      </c>
      <c r="F381" s="497" t="s">
        <v>9</v>
      </c>
      <c r="G381" s="283">
        <f t="shared" si="176"/>
        <v>1100</v>
      </c>
      <c r="H381" s="304">
        <f t="shared" si="176"/>
        <v>0</v>
      </c>
      <c r="I381" s="283">
        <f t="shared" si="176"/>
        <v>0</v>
      </c>
      <c r="J381" s="283">
        <f t="shared" si="176"/>
        <v>0</v>
      </c>
      <c r="K381" s="283">
        <f t="shared" si="176"/>
        <v>0</v>
      </c>
      <c r="L381" s="283">
        <f t="shared" si="176"/>
        <v>0</v>
      </c>
      <c r="M381" s="568">
        <f t="shared" si="176"/>
        <v>0</v>
      </c>
      <c r="N381" s="568">
        <f t="shared" si="176"/>
        <v>0</v>
      </c>
      <c r="O381" s="569">
        <f t="shared" si="176"/>
        <v>0</v>
      </c>
      <c r="P381" s="569">
        <f t="shared" si="176"/>
        <v>0</v>
      </c>
      <c r="Q381" s="569">
        <f t="shared" si="176"/>
        <v>0</v>
      </c>
      <c r="R381" s="569">
        <f t="shared" si="176"/>
        <v>0</v>
      </c>
      <c r="S381" s="132">
        <f t="shared" si="163"/>
        <v>1100</v>
      </c>
    </row>
    <row r="382" spans="1:19" s="77" customFormat="1" ht="47.25" x14ac:dyDescent="0.25">
      <c r="A382" s="267" t="s">
        <v>110</v>
      </c>
      <c r="B382" s="497" t="s">
        <v>76</v>
      </c>
      <c r="C382" s="496" t="s">
        <v>14</v>
      </c>
      <c r="D382" s="497" t="s">
        <v>25</v>
      </c>
      <c r="E382" s="285" t="s">
        <v>497</v>
      </c>
      <c r="F382" s="497" t="s">
        <v>9</v>
      </c>
      <c r="G382" s="283">
        <f t="shared" ref="G382:R382" si="177">G383+G384</f>
        <v>1100</v>
      </c>
      <c r="H382" s="304">
        <f t="shared" si="177"/>
        <v>0</v>
      </c>
      <c r="I382" s="283">
        <f t="shared" si="177"/>
        <v>0</v>
      </c>
      <c r="J382" s="283">
        <f t="shared" si="177"/>
        <v>0</v>
      </c>
      <c r="K382" s="283">
        <f t="shared" si="177"/>
        <v>0</v>
      </c>
      <c r="L382" s="283">
        <f t="shared" si="177"/>
        <v>0</v>
      </c>
      <c r="M382" s="568">
        <f t="shared" si="177"/>
        <v>0</v>
      </c>
      <c r="N382" s="568">
        <f t="shared" si="177"/>
        <v>0</v>
      </c>
      <c r="O382" s="569">
        <f t="shared" si="177"/>
        <v>0</v>
      </c>
      <c r="P382" s="569">
        <f t="shared" si="177"/>
        <v>0</v>
      </c>
      <c r="Q382" s="569">
        <f t="shared" si="177"/>
        <v>0</v>
      </c>
      <c r="R382" s="569">
        <f t="shared" si="177"/>
        <v>0</v>
      </c>
      <c r="S382" s="132">
        <f t="shared" si="163"/>
        <v>1100</v>
      </c>
    </row>
    <row r="383" spans="1:19" s="80" customFormat="1" ht="63" x14ac:dyDescent="0.25">
      <c r="A383" s="264" t="s">
        <v>115</v>
      </c>
      <c r="B383" s="380" t="s">
        <v>76</v>
      </c>
      <c r="C383" s="488" t="s">
        <v>14</v>
      </c>
      <c r="D383" s="380" t="s">
        <v>25</v>
      </c>
      <c r="E383" s="265" t="s">
        <v>497</v>
      </c>
      <c r="F383" s="380" t="s">
        <v>113</v>
      </c>
      <c r="G383" s="300">
        <v>1100</v>
      </c>
      <c r="H383" s="303"/>
      <c r="I383" s="265"/>
      <c r="J383" s="265"/>
      <c r="K383" s="265"/>
      <c r="L383" s="265"/>
      <c r="M383" s="570"/>
      <c r="N383" s="570"/>
      <c r="O383" s="571"/>
      <c r="P383" s="571"/>
      <c r="Q383" s="571"/>
      <c r="R383" s="571"/>
      <c r="S383" s="566">
        <f t="shared" si="163"/>
        <v>1100</v>
      </c>
    </row>
    <row r="384" spans="1:19" s="80" customFormat="1" ht="31.15" hidden="1" x14ac:dyDescent="0.3">
      <c r="A384" s="264" t="s">
        <v>124</v>
      </c>
      <c r="B384" s="380" t="s">
        <v>76</v>
      </c>
      <c r="C384" s="488" t="s">
        <v>14</v>
      </c>
      <c r="D384" s="380" t="s">
        <v>25</v>
      </c>
      <c r="E384" s="265" t="s">
        <v>497</v>
      </c>
      <c r="F384" s="380" t="s">
        <v>117</v>
      </c>
      <c r="G384" s="282"/>
      <c r="H384" s="303"/>
      <c r="I384" s="265"/>
      <c r="J384" s="265"/>
      <c r="K384" s="265"/>
      <c r="L384" s="265"/>
      <c r="M384" s="570"/>
      <c r="N384" s="570"/>
      <c r="O384" s="571"/>
      <c r="P384" s="571"/>
      <c r="Q384" s="571"/>
      <c r="R384" s="571"/>
      <c r="S384" s="131">
        <f t="shared" si="163"/>
        <v>0</v>
      </c>
    </row>
    <row r="385" spans="1:19" s="77" customFormat="1" ht="31.5" x14ac:dyDescent="0.25">
      <c r="A385" s="267" t="s">
        <v>784</v>
      </c>
      <c r="B385" s="497" t="s">
        <v>76</v>
      </c>
      <c r="C385" s="496" t="s">
        <v>14</v>
      </c>
      <c r="D385" s="497" t="s">
        <v>25</v>
      </c>
      <c r="E385" s="285" t="s">
        <v>380</v>
      </c>
      <c r="F385" s="497" t="s">
        <v>9</v>
      </c>
      <c r="G385" s="283">
        <f t="shared" ref="G385:R385" si="178">G391+G398+G401+G406+G408+G386+G389</f>
        <v>3351</v>
      </c>
      <c r="H385" s="304">
        <f t="shared" si="178"/>
        <v>24303.360000000001</v>
      </c>
      <c r="I385" s="283">
        <f t="shared" si="178"/>
        <v>0</v>
      </c>
      <c r="J385" s="283">
        <f t="shared" si="178"/>
        <v>0</v>
      </c>
      <c r="K385" s="283">
        <f t="shared" si="178"/>
        <v>0</v>
      </c>
      <c r="L385" s="283">
        <f t="shared" si="178"/>
        <v>0</v>
      </c>
      <c r="M385" s="568">
        <f t="shared" si="178"/>
        <v>0</v>
      </c>
      <c r="N385" s="568">
        <f t="shared" si="178"/>
        <v>0</v>
      </c>
      <c r="O385" s="569">
        <f t="shared" si="178"/>
        <v>0</v>
      </c>
      <c r="P385" s="569">
        <f t="shared" si="178"/>
        <v>0</v>
      </c>
      <c r="Q385" s="569">
        <f t="shared" si="178"/>
        <v>0</v>
      </c>
      <c r="R385" s="569">
        <f t="shared" si="178"/>
        <v>0</v>
      </c>
      <c r="S385" s="132">
        <f t="shared" si="163"/>
        <v>27654.36</v>
      </c>
    </row>
    <row r="386" spans="1:19" s="77" customFormat="1" ht="46.9" hidden="1" x14ac:dyDescent="0.3">
      <c r="A386" s="267" t="s">
        <v>41</v>
      </c>
      <c r="B386" s="497" t="s">
        <v>76</v>
      </c>
      <c r="C386" s="496" t="s">
        <v>14</v>
      </c>
      <c r="D386" s="497" t="s">
        <v>25</v>
      </c>
      <c r="E386" s="285" t="s">
        <v>414</v>
      </c>
      <c r="F386" s="497" t="s">
        <v>9</v>
      </c>
      <c r="G386" s="283">
        <f t="shared" ref="G386:R387" si="179">G387</f>
        <v>0</v>
      </c>
      <c r="H386" s="304">
        <f t="shared" si="179"/>
        <v>0</v>
      </c>
      <c r="I386" s="283">
        <f t="shared" si="179"/>
        <v>0</v>
      </c>
      <c r="J386" s="283">
        <f t="shared" si="179"/>
        <v>0</v>
      </c>
      <c r="K386" s="283">
        <f t="shared" si="179"/>
        <v>0</v>
      </c>
      <c r="L386" s="283">
        <f t="shared" si="179"/>
        <v>0</v>
      </c>
      <c r="M386" s="568">
        <f t="shared" si="179"/>
        <v>0</v>
      </c>
      <c r="N386" s="568">
        <f t="shared" si="179"/>
        <v>0</v>
      </c>
      <c r="O386" s="569">
        <f t="shared" si="179"/>
        <v>0</v>
      </c>
      <c r="P386" s="569">
        <f t="shared" si="179"/>
        <v>0</v>
      </c>
      <c r="Q386" s="569">
        <f t="shared" si="179"/>
        <v>0</v>
      </c>
      <c r="R386" s="569">
        <f t="shared" si="179"/>
        <v>0</v>
      </c>
      <c r="S386" s="132">
        <f t="shared" si="163"/>
        <v>0</v>
      </c>
    </row>
    <row r="387" spans="1:19" s="80" customFormat="1" ht="31.15" hidden="1" x14ac:dyDescent="0.3">
      <c r="A387" s="267" t="s">
        <v>848</v>
      </c>
      <c r="B387" s="497" t="s">
        <v>76</v>
      </c>
      <c r="C387" s="496" t="s">
        <v>14</v>
      </c>
      <c r="D387" s="497" t="s">
        <v>25</v>
      </c>
      <c r="E387" s="285" t="s">
        <v>707</v>
      </c>
      <c r="F387" s="497" t="s">
        <v>9</v>
      </c>
      <c r="G387" s="283">
        <f t="shared" si="179"/>
        <v>0</v>
      </c>
      <c r="H387" s="304">
        <f t="shared" si="179"/>
        <v>0</v>
      </c>
      <c r="I387" s="283">
        <f t="shared" si="179"/>
        <v>0</v>
      </c>
      <c r="J387" s="283">
        <f t="shared" si="179"/>
        <v>0</v>
      </c>
      <c r="K387" s="283">
        <f t="shared" si="179"/>
        <v>0</v>
      </c>
      <c r="L387" s="283">
        <f t="shared" si="179"/>
        <v>0</v>
      </c>
      <c r="M387" s="568">
        <f t="shared" si="179"/>
        <v>0</v>
      </c>
      <c r="N387" s="568">
        <f t="shared" si="179"/>
        <v>0</v>
      </c>
      <c r="O387" s="569">
        <f t="shared" si="179"/>
        <v>0</v>
      </c>
      <c r="P387" s="569">
        <f t="shared" si="179"/>
        <v>0</v>
      </c>
      <c r="Q387" s="569">
        <f t="shared" si="179"/>
        <v>0</v>
      </c>
      <c r="R387" s="569">
        <f t="shared" si="179"/>
        <v>0</v>
      </c>
      <c r="S387" s="132">
        <f t="shared" si="163"/>
        <v>0</v>
      </c>
    </row>
    <row r="388" spans="1:19" s="77" customFormat="1" ht="31.15" hidden="1" x14ac:dyDescent="0.3">
      <c r="A388" s="264" t="s">
        <v>124</v>
      </c>
      <c r="B388" s="380" t="s">
        <v>76</v>
      </c>
      <c r="C388" s="488" t="s">
        <v>14</v>
      </c>
      <c r="D388" s="380" t="s">
        <v>25</v>
      </c>
      <c r="E388" s="265" t="s">
        <v>707</v>
      </c>
      <c r="F388" s="380" t="s">
        <v>117</v>
      </c>
      <c r="G388" s="282"/>
      <c r="H388" s="303"/>
      <c r="I388" s="265"/>
      <c r="J388" s="265"/>
      <c r="K388" s="265"/>
      <c r="L388" s="265"/>
      <c r="M388" s="570"/>
      <c r="N388" s="570"/>
      <c r="O388" s="571"/>
      <c r="P388" s="571"/>
      <c r="Q388" s="571"/>
      <c r="R388" s="571"/>
      <c r="S388" s="131">
        <f t="shared" si="163"/>
        <v>0</v>
      </c>
    </row>
    <row r="389" spans="1:19" s="77" customFormat="1" ht="31.15" hidden="1" x14ac:dyDescent="0.3">
      <c r="A389" s="267" t="s">
        <v>848</v>
      </c>
      <c r="B389" s="497" t="s">
        <v>76</v>
      </c>
      <c r="C389" s="496" t="s">
        <v>14</v>
      </c>
      <c r="D389" s="497" t="s">
        <v>25</v>
      </c>
      <c r="E389" s="285" t="s">
        <v>708</v>
      </c>
      <c r="F389" s="497" t="s">
        <v>9</v>
      </c>
      <c r="G389" s="283">
        <f t="shared" ref="G389:R389" si="180">G390</f>
        <v>0</v>
      </c>
      <c r="H389" s="304">
        <f t="shared" si="180"/>
        <v>0</v>
      </c>
      <c r="I389" s="283">
        <f t="shared" si="180"/>
        <v>0</v>
      </c>
      <c r="J389" s="283">
        <f t="shared" si="180"/>
        <v>0</v>
      </c>
      <c r="K389" s="283">
        <f t="shared" si="180"/>
        <v>0</v>
      </c>
      <c r="L389" s="283">
        <f t="shared" si="180"/>
        <v>0</v>
      </c>
      <c r="M389" s="568">
        <f t="shared" si="180"/>
        <v>0</v>
      </c>
      <c r="N389" s="568">
        <f t="shared" si="180"/>
        <v>0</v>
      </c>
      <c r="O389" s="569">
        <f t="shared" si="180"/>
        <v>0</v>
      </c>
      <c r="P389" s="569">
        <f t="shared" si="180"/>
        <v>0</v>
      </c>
      <c r="Q389" s="569">
        <f t="shared" si="180"/>
        <v>0</v>
      </c>
      <c r="R389" s="569">
        <f t="shared" si="180"/>
        <v>0</v>
      </c>
      <c r="S389" s="132">
        <f t="shared" si="163"/>
        <v>0</v>
      </c>
    </row>
    <row r="390" spans="1:19" s="80" customFormat="1" ht="31.15" hidden="1" x14ac:dyDescent="0.3">
      <c r="A390" s="264" t="s">
        <v>124</v>
      </c>
      <c r="B390" s="380" t="s">
        <v>76</v>
      </c>
      <c r="C390" s="488" t="s">
        <v>14</v>
      </c>
      <c r="D390" s="380" t="s">
        <v>25</v>
      </c>
      <c r="E390" s="265" t="s">
        <v>708</v>
      </c>
      <c r="F390" s="380" t="s">
        <v>117</v>
      </c>
      <c r="G390" s="282"/>
      <c r="H390" s="303"/>
      <c r="I390" s="265"/>
      <c r="J390" s="265"/>
      <c r="K390" s="265"/>
      <c r="L390" s="265"/>
      <c r="M390" s="570"/>
      <c r="N390" s="570"/>
      <c r="O390" s="571"/>
      <c r="P390" s="571"/>
      <c r="Q390" s="571"/>
      <c r="R390" s="571"/>
      <c r="S390" s="131">
        <f t="shared" si="163"/>
        <v>0</v>
      </c>
    </row>
    <row r="391" spans="1:19" s="80" customFormat="1" ht="47.25" x14ac:dyDescent="0.25">
      <c r="A391" s="267" t="s">
        <v>1110</v>
      </c>
      <c r="B391" s="497" t="s">
        <v>76</v>
      </c>
      <c r="C391" s="496" t="s">
        <v>14</v>
      </c>
      <c r="D391" s="497" t="s">
        <v>25</v>
      </c>
      <c r="E391" s="285" t="s">
        <v>416</v>
      </c>
      <c r="F391" s="497" t="s">
        <v>9</v>
      </c>
      <c r="G391" s="283">
        <f t="shared" ref="G391:R391" si="181">G392+G395</f>
        <v>3351</v>
      </c>
      <c r="H391" s="304">
        <f t="shared" si="181"/>
        <v>0</v>
      </c>
      <c r="I391" s="283">
        <f t="shared" si="181"/>
        <v>0</v>
      </c>
      <c r="J391" s="283">
        <f t="shared" si="181"/>
        <v>0</v>
      </c>
      <c r="K391" s="283">
        <f t="shared" si="181"/>
        <v>0</v>
      </c>
      <c r="L391" s="283">
        <f t="shared" si="181"/>
        <v>0</v>
      </c>
      <c r="M391" s="568">
        <f t="shared" si="181"/>
        <v>0</v>
      </c>
      <c r="N391" s="568">
        <f t="shared" si="181"/>
        <v>0</v>
      </c>
      <c r="O391" s="569">
        <f t="shared" si="181"/>
        <v>0</v>
      </c>
      <c r="P391" s="569">
        <f t="shared" si="181"/>
        <v>0</v>
      </c>
      <c r="Q391" s="569">
        <f t="shared" si="181"/>
        <v>0</v>
      </c>
      <c r="R391" s="569">
        <f t="shared" si="181"/>
        <v>0</v>
      </c>
      <c r="S391" s="132">
        <f t="shared" si="163"/>
        <v>3351</v>
      </c>
    </row>
    <row r="392" spans="1:19" s="77" customFormat="1" x14ac:dyDescent="0.25">
      <c r="A392" s="267" t="s">
        <v>77</v>
      </c>
      <c r="B392" s="497" t="s">
        <v>76</v>
      </c>
      <c r="C392" s="496" t="s">
        <v>14</v>
      </c>
      <c r="D392" s="497" t="s">
        <v>25</v>
      </c>
      <c r="E392" s="285" t="s">
        <v>417</v>
      </c>
      <c r="F392" s="497" t="s">
        <v>9</v>
      </c>
      <c r="G392" s="283">
        <f t="shared" ref="G392:R392" si="182">G393+G394</f>
        <v>2084</v>
      </c>
      <c r="H392" s="304">
        <f t="shared" si="182"/>
        <v>0</v>
      </c>
      <c r="I392" s="283">
        <f t="shared" si="182"/>
        <v>0</v>
      </c>
      <c r="J392" s="283">
        <f t="shared" si="182"/>
        <v>0</v>
      </c>
      <c r="K392" s="283">
        <f t="shared" si="182"/>
        <v>0</v>
      </c>
      <c r="L392" s="283">
        <f t="shared" si="182"/>
        <v>0</v>
      </c>
      <c r="M392" s="568">
        <f t="shared" si="182"/>
        <v>0</v>
      </c>
      <c r="N392" s="568">
        <f t="shared" si="182"/>
        <v>0</v>
      </c>
      <c r="O392" s="569">
        <f t="shared" si="182"/>
        <v>0</v>
      </c>
      <c r="P392" s="569">
        <f t="shared" si="182"/>
        <v>0</v>
      </c>
      <c r="Q392" s="569">
        <f t="shared" si="182"/>
        <v>0</v>
      </c>
      <c r="R392" s="569">
        <f t="shared" si="182"/>
        <v>0</v>
      </c>
      <c r="S392" s="132">
        <f t="shared" si="163"/>
        <v>2084</v>
      </c>
    </row>
    <row r="393" spans="1:19" s="80" customFormat="1" ht="63" x14ac:dyDescent="0.25">
      <c r="A393" s="264" t="s">
        <v>115</v>
      </c>
      <c r="B393" s="380" t="s">
        <v>76</v>
      </c>
      <c r="C393" s="488" t="s">
        <v>14</v>
      </c>
      <c r="D393" s="380" t="s">
        <v>25</v>
      </c>
      <c r="E393" s="265" t="s">
        <v>417</v>
      </c>
      <c r="F393" s="380" t="s">
        <v>113</v>
      </c>
      <c r="G393" s="300">
        <v>2026.47</v>
      </c>
      <c r="H393" s="303"/>
      <c r="I393" s="265"/>
      <c r="J393" s="282"/>
      <c r="K393" s="265"/>
      <c r="L393" s="265"/>
      <c r="M393" s="570"/>
      <c r="N393" s="570"/>
      <c r="O393" s="571"/>
      <c r="P393" s="571"/>
      <c r="Q393" s="571"/>
      <c r="R393" s="571"/>
      <c r="S393" s="566">
        <f t="shared" si="163"/>
        <v>2026.47</v>
      </c>
    </row>
    <row r="394" spans="1:19" s="80" customFormat="1" ht="31.5" x14ac:dyDescent="0.25">
      <c r="A394" s="264" t="s">
        <v>124</v>
      </c>
      <c r="B394" s="380" t="s">
        <v>76</v>
      </c>
      <c r="C394" s="488" t="s">
        <v>14</v>
      </c>
      <c r="D394" s="380" t="s">
        <v>25</v>
      </c>
      <c r="E394" s="265" t="s">
        <v>417</v>
      </c>
      <c r="F394" s="380" t="s">
        <v>117</v>
      </c>
      <c r="G394" s="282">
        <v>57.53</v>
      </c>
      <c r="H394" s="303"/>
      <c r="I394" s="265"/>
      <c r="J394" s="265"/>
      <c r="K394" s="265"/>
      <c r="L394" s="265"/>
      <c r="M394" s="570"/>
      <c r="N394" s="570"/>
      <c r="O394" s="571"/>
      <c r="P394" s="571"/>
      <c r="Q394" s="571"/>
      <c r="R394" s="571"/>
      <c r="S394" s="566">
        <f t="shared" si="163"/>
        <v>57.53</v>
      </c>
    </row>
    <row r="395" spans="1:19" s="77" customFormat="1" ht="78.75" x14ac:dyDescent="0.25">
      <c r="A395" s="267" t="s">
        <v>1111</v>
      </c>
      <c r="B395" s="497" t="s">
        <v>76</v>
      </c>
      <c r="C395" s="496" t="s">
        <v>14</v>
      </c>
      <c r="D395" s="497" t="s">
        <v>25</v>
      </c>
      <c r="E395" s="285" t="s">
        <v>418</v>
      </c>
      <c r="F395" s="497" t="s">
        <v>9</v>
      </c>
      <c r="G395" s="283">
        <f t="shared" ref="G395:R395" si="183">G396+G397</f>
        <v>1267</v>
      </c>
      <c r="H395" s="304">
        <f t="shared" si="183"/>
        <v>0</v>
      </c>
      <c r="I395" s="283">
        <f t="shared" si="183"/>
        <v>0</v>
      </c>
      <c r="J395" s="283">
        <f t="shared" si="183"/>
        <v>0</v>
      </c>
      <c r="K395" s="283">
        <f t="shared" si="183"/>
        <v>0</v>
      </c>
      <c r="L395" s="283">
        <f t="shared" si="183"/>
        <v>0</v>
      </c>
      <c r="M395" s="568">
        <f t="shared" si="183"/>
        <v>0</v>
      </c>
      <c r="N395" s="568">
        <f t="shared" si="183"/>
        <v>0</v>
      </c>
      <c r="O395" s="569">
        <f t="shared" si="183"/>
        <v>0</v>
      </c>
      <c r="P395" s="569">
        <f t="shared" si="183"/>
        <v>0</v>
      </c>
      <c r="Q395" s="569">
        <f t="shared" si="183"/>
        <v>0</v>
      </c>
      <c r="R395" s="569">
        <f t="shared" si="183"/>
        <v>0</v>
      </c>
      <c r="S395" s="132">
        <f t="shared" si="163"/>
        <v>1267</v>
      </c>
    </row>
    <row r="396" spans="1:19" s="77" customFormat="1" ht="63" x14ac:dyDescent="0.25">
      <c r="A396" s="264" t="s">
        <v>115</v>
      </c>
      <c r="B396" s="380" t="s">
        <v>76</v>
      </c>
      <c r="C396" s="488" t="s">
        <v>14</v>
      </c>
      <c r="D396" s="380" t="s">
        <v>25</v>
      </c>
      <c r="E396" s="265" t="s">
        <v>418</v>
      </c>
      <c r="F396" s="380" t="s">
        <v>113</v>
      </c>
      <c r="G396" s="300">
        <v>1267</v>
      </c>
      <c r="H396" s="303"/>
      <c r="I396" s="265"/>
      <c r="J396" s="265"/>
      <c r="K396" s="265"/>
      <c r="L396" s="265"/>
      <c r="M396" s="570"/>
      <c r="N396" s="570"/>
      <c r="O396" s="571"/>
      <c r="P396" s="571"/>
      <c r="Q396" s="571"/>
      <c r="R396" s="571"/>
      <c r="S396" s="566">
        <f t="shared" si="163"/>
        <v>1267</v>
      </c>
    </row>
    <row r="397" spans="1:19" s="80" customFormat="1" ht="31.15" hidden="1" x14ac:dyDescent="0.3">
      <c r="A397" s="264" t="s">
        <v>124</v>
      </c>
      <c r="B397" s="380" t="s">
        <v>76</v>
      </c>
      <c r="C397" s="488" t="s">
        <v>14</v>
      </c>
      <c r="D397" s="380" t="s">
        <v>25</v>
      </c>
      <c r="E397" s="265" t="s">
        <v>418</v>
      </c>
      <c r="F397" s="380" t="s">
        <v>117</v>
      </c>
      <c r="G397" s="282"/>
      <c r="H397" s="303"/>
      <c r="I397" s="265"/>
      <c r="J397" s="265"/>
      <c r="K397" s="265"/>
      <c r="L397" s="265"/>
      <c r="M397" s="570"/>
      <c r="N397" s="570"/>
      <c r="O397" s="571"/>
      <c r="P397" s="571"/>
      <c r="Q397" s="571"/>
      <c r="R397" s="571"/>
      <c r="S397" s="131">
        <f t="shared" si="163"/>
        <v>0</v>
      </c>
    </row>
    <row r="398" spans="1:19" s="77" customFormat="1" x14ac:dyDescent="0.25">
      <c r="A398" s="267" t="s">
        <v>127</v>
      </c>
      <c r="B398" s="497" t="s">
        <v>76</v>
      </c>
      <c r="C398" s="496" t="s">
        <v>14</v>
      </c>
      <c r="D398" s="497" t="s">
        <v>25</v>
      </c>
      <c r="E398" s="285" t="s">
        <v>419</v>
      </c>
      <c r="F398" s="497" t="s">
        <v>9</v>
      </c>
      <c r="G398" s="283">
        <f t="shared" ref="G398:R399" si="184">G399</f>
        <v>0</v>
      </c>
      <c r="H398" s="304">
        <f t="shared" si="184"/>
        <v>2300</v>
      </c>
      <c r="I398" s="283">
        <f t="shared" si="184"/>
        <v>0</v>
      </c>
      <c r="J398" s="283">
        <f t="shared" si="184"/>
        <v>0</v>
      </c>
      <c r="K398" s="283">
        <f t="shared" si="184"/>
        <v>0</v>
      </c>
      <c r="L398" s="283">
        <f t="shared" si="184"/>
        <v>0</v>
      </c>
      <c r="M398" s="568">
        <f t="shared" si="184"/>
        <v>0</v>
      </c>
      <c r="N398" s="568">
        <f t="shared" si="184"/>
        <v>0</v>
      </c>
      <c r="O398" s="569">
        <f t="shared" si="184"/>
        <v>0</v>
      </c>
      <c r="P398" s="569">
        <f t="shared" si="184"/>
        <v>0</v>
      </c>
      <c r="Q398" s="569">
        <f t="shared" si="184"/>
        <v>0</v>
      </c>
      <c r="R398" s="569">
        <f t="shared" si="184"/>
        <v>0</v>
      </c>
      <c r="S398" s="132">
        <f t="shared" si="163"/>
        <v>2300</v>
      </c>
    </row>
    <row r="399" spans="1:19" s="80" customFormat="1" ht="31.5" x14ac:dyDescent="0.25">
      <c r="A399" s="267" t="s">
        <v>16</v>
      </c>
      <c r="B399" s="497" t="s">
        <v>76</v>
      </c>
      <c r="C399" s="496" t="s">
        <v>14</v>
      </c>
      <c r="D399" s="497" t="s">
        <v>25</v>
      </c>
      <c r="E399" s="285" t="s">
        <v>420</v>
      </c>
      <c r="F399" s="497" t="s">
        <v>9</v>
      </c>
      <c r="G399" s="283">
        <f t="shared" si="184"/>
        <v>0</v>
      </c>
      <c r="H399" s="304">
        <f t="shared" si="184"/>
        <v>2300</v>
      </c>
      <c r="I399" s="283">
        <f t="shared" si="184"/>
        <v>0</v>
      </c>
      <c r="J399" s="283">
        <f t="shared" si="184"/>
        <v>0</v>
      </c>
      <c r="K399" s="283">
        <f t="shared" si="184"/>
        <v>0</v>
      </c>
      <c r="L399" s="283">
        <f t="shared" si="184"/>
        <v>0</v>
      </c>
      <c r="M399" s="568">
        <f t="shared" si="184"/>
        <v>0</v>
      </c>
      <c r="N399" s="568">
        <f t="shared" si="184"/>
        <v>0</v>
      </c>
      <c r="O399" s="569">
        <f t="shared" si="184"/>
        <v>0</v>
      </c>
      <c r="P399" s="569">
        <f t="shared" si="184"/>
        <v>0</v>
      </c>
      <c r="Q399" s="569">
        <f t="shared" si="184"/>
        <v>0</v>
      </c>
      <c r="R399" s="569">
        <f t="shared" si="184"/>
        <v>0</v>
      </c>
      <c r="S399" s="132">
        <f t="shared" si="163"/>
        <v>2300</v>
      </c>
    </row>
    <row r="400" spans="1:19" s="77" customFormat="1" ht="63" x14ac:dyDescent="0.25">
      <c r="A400" s="264" t="s">
        <v>115</v>
      </c>
      <c r="B400" s="380" t="s">
        <v>76</v>
      </c>
      <c r="C400" s="488" t="s">
        <v>14</v>
      </c>
      <c r="D400" s="380" t="s">
        <v>25</v>
      </c>
      <c r="E400" s="265" t="s">
        <v>420</v>
      </c>
      <c r="F400" s="380" t="s">
        <v>113</v>
      </c>
      <c r="G400" s="282"/>
      <c r="H400" s="303">
        <v>2300</v>
      </c>
      <c r="I400" s="265"/>
      <c r="J400" s="265"/>
      <c r="K400" s="265"/>
      <c r="L400" s="265"/>
      <c r="M400" s="570"/>
      <c r="N400" s="570"/>
      <c r="O400" s="571"/>
      <c r="P400" s="571"/>
      <c r="Q400" s="571"/>
      <c r="R400" s="571"/>
      <c r="S400" s="566">
        <f t="shared" si="163"/>
        <v>2300</v>
      </c>
    </row>
    <row r="401" spans="1:19" s="80" customFormat="1" ht="31.5" x14ac:dyDescent="0.25">
      <c r="A401" s="267" t="s">
        <v>568</v>
      </c>
      <c r="B401" s="497" t="s">
        <v>76</v>
      </c>
      <c r="C401" s="496" t="s">
        <v>14</v>
      </c>
      <c r="D401" s="497" t="s">
        <v>25</v>
      </c>
      <c r="E401" s="285" t="s">
        <v>421</v>
      </c>
      <c r="F401" s="497" t="s">
        <v>9</v>
      </c>
      <c r="G401" s="283">
        <f t="shared" ref="G401:R401" si="185">G402</f>
        <v>0</v>
      </c>
      <c r="H401" s="304">
        <f t="shared" si="185"/>
        <v>22003.360000000001</v>
      </c>
      <c r="I401" s="283">
        <f t="shared" si="185"/>
        <v>0</v>
      </c>
      <c r="J401" s="283">
        <f t="shared" si="185"/>
        <v>0</v>
      </c>
      <c r="K401" s="283">
        <f t="shared" si="185"/>
        <v>0</v>
      </c>
      <c r="L401" s="283">
        <f t="shared" si="185"/>
        <v>0</v>
      </c>
      <c r="M401" s="568">
        <f t="shared" si="185"/>
        <v>0</v>
      </c>
      <c r="N401" s="568">
        <f t="shared" si="185"/>
        <v>0</v>
      </c>
      <c r="O401" s="569">
        <f t="shared" si="185"/>
        <v>0</v>
      </c>
      <c r="P401" s="569">
        <f t="shared" si="185"/>
        <v>0</v>
      </c>
      <c r="Q401" s="569">
        <f t="shared" si="185"/>
        <v>0</v>
      </c>
      <c r="R401" s="569">
        <f t="shared" si="185"/>
        <v>0</v>
      </c>
      <c r="S401" s="132">
        <f t="shared" si="163"/>
        <v>22003.360000000001</v>
      </c>
    </row>
    <row r="402" spans="1:19" s="80" customFormat="1" x14ac:dyDescent="0.25">
      <c r="A402" s="267" t="s">
        <v>26</v>
      </c>
      <c r="B402" s="497" t="s">
        <v>76</v>
      </c>
      <c r="C402" s="496" t="s">
        <v>14</v>
      </c>
      <c r="D402" s="497" t="s">
        <v>25</v>
      </c>
      <c r="E402" s="285" t="s">
        <v>422</v>
      </c>
      <c r="F402" s="497" t="s">
        <v>9</v>
      </c>
      <c r="G402" s="283">
        <f t="shared" ref="G402:R402" si="186">G403+G404+G405</f>
        <v>0</v>
      </c>
      <c r="H402" s="304">
        <f t="shared" si="186"/>
        <v>22003.360000000001</v>
      </c>
      <c r="I402" s="283">
        <f t="shared" si="186"/>
        <v>0</v>
      </c>
      <c r="J402" s="283">
        <f t="shared" si="186"/>
        <v>0</v>
      </c>
      <c r="K402" s="283">
        <f t="shared" si="186"/>
        <v>0</v>
      </c>
      <c r="L402" s="283">
        <f t="shared" si="186"/>
        <v>0</v>
      </c>
      <c r="M402" s="568">
        <f t="shared" si="186"/>
        <v>0</v>
      </c>
      <c r="N402" s="568">
        <f t="shared" si="186"/>
        <v>0</v>
      </c>
      <c r="O402" s="569">
        <f t="shared" si="186"/>
        <v>0</v>
      </c>
      <c r="P402" s="569">
        <f t="shared" si="186"/>
        <v>0</v>
      </c>
      <c r="Q402" s="569">
        <f t="shared" si="186"/>
        <v>0</v>
      </c>
      <c r="R402" s="569">
        <f t="shared" si="186"/>
        <v>0</v>
      </c>
      <c r="S402" s="132">
        <f t="shared" si="163"/>
        <v>22003.360000000001</v>
      </c>
    </row>
    <row r="403" spans="1:19" s="80" customFormat="1" ht="63" x14ac:dyDescent="0.25">
      <c r="A403" s="264" t="s">
        <v>115</v>
      </c>
      <c r="B403" s="380" t="s">
        <v>76</v>
      </c>
      <c r="C403" s="488" t="s">
        <v>14</v>
      </c>
      <c r="D403" s="380" t="s">
        <v>25</v>
      </c>
      <c r="E403" s="265" t="s">
        <v>422</v>
      </c>
      <c r="F403" s="380" t="s">
        <v>113</v>
      </c>
      <c r="G403" s="282"/>
      <c r="H403" s="303">
        <v>22003.360000000001</v>
      </c>
      <c r="I403" s="265"/>
      <c r="J403" s="265"/>
      <c r="K403" s="265"/>
      <c r="L403" s="265"/>
      <c r="M403" s="570"/>
      <c r="N403" s="570"/>
      <c r="O403" s="571"/>
      <c r="P403" s="571"/>
      <c r="Q403" s="571"/>
      <c r="R403" s="571"/>
      <c r="S403" s="566">
        <f t="shared" si="163"/>
        <v>22003.360000000001</v>
      </c>
    </row>
    <row r="404" spans="1:19" s="77" customFormat="1" ht="31.15" hidden="1" x14ac:dyDescent="0.3">
      <c r="A404" s="264" t="s">
        <v>124</v>
      </c>
      <c r="B404" s="380" t="s">
        <v>76</v>
      </c>
      <c r="C404" s="488" t="s">
        <v>14</v>
      </c>
      <c r="D404" s="380" t="s">
        <v>25</v>
      </c>
      <c r="E404" s="265" t="s">
        <v>422</v>
      </c>
      <c r="F404" s="380" t="s">
        <v>117</v>
      </c>
      <c r="G404" s="282"/>
      <c r="H404" s="303"/>
      <c r="I404" s="265"/>
      <c r="J404" s="265"/>
      <c r="K404" s="265"/>
      <c r="L404" s="265"/>
      <c r="M404" s="570"/>
      <c r="N404" s="570"/>
      <c r="O404" s="571"/>
      <c r="P404" s="571"/>
      <c r="Q404" s="571"/>
      <c r="R404" s="571"/>
      <c r="S404" s="131">
        <f t="shared" si="163"/>
        <v>0</v>
      </c>
    </row>
    <row r="405" spans="1:19" s="77" customFormat="1" ht="15.6" hidden="1" x14ac:dyDescent="0.3">
      <c r="A405" s="264" t="s">
        <v>125</v>
      </c>
      <c r="B405" s="380" t="s">
        <v>76</v>
      </c>
      <c r="C405" s="488" t="s">
        <v>14</v>
      </c>
      <c r="D405" s="380" t="s">
        <v>25</v>
      </c>
      <c r="E405" s="265" t="s">
        <v>422</v>
      </c>
      <c r="F405" s="380" t="s">
        <v>118</v>
      </c>
      <c r="G405" s="282"/>
      <c r="H405" s="303"/>
      <c r="I405" s="265"/>
      <c r="J405" s="265"/>
      <c r="K405" s="265"/>
      <c r="L405" s="265"/>
      <c r="M405" s="570"/>
      <c r="N405" s="570"/>
      <c r="O405" s="571"/>
      <c r="P405" s="571"/>
      <c r="Q405" s="571"/>
      <c r="R405" s="571"/>
      <c r="S405" s="131">
        <f t="shared" si="163"/>
        <v>0</v>
      </c>
    </row>
    <row r="406" spans="1:19" s="77" customFormat="1" ht="31.15" hidden="1" x14ac:dyDescent="0.3">
      <c r="A406" s="267" t="s">
        <v>569</v>
      </c>
      <c r="B406" s="497" t="s">
        <v>76</v>
      </c>
      <c r="C406" s="496" t="s">
        <v>14</v>
      </c>
      <c r="D406" s="497" t="s">
        <v>25</v>
      </c>
      <c r="E406" s="285" t="s">
        <v>423</v>
      </c>
      <c r="F406" s="497" t="s">
        <v>9</v>
      </c>
      <c r="G406" s="283">
        <f t="shared" ref="G406:R406" si="187">G407</f>
        <v>0</v>
      </c>
      <c r="H406" s="304">
        <f t="shared" si="187"/>
        <v>0</v>
      </c>
      <c r="I406" s="283">
        <f t="shared" si="187"/>
        <v>0</v>
      </c>
      <c r="J406" s="283">
        <f t="shared" si="187"/>
        <v>0</v>
      </c>
      <c r="K406" s="283">
        <f t="shared" si="187"/>
        <v>0</v>
      </c>
      <c r="L406" s="283">
        <f t="shared" si="187"/>
        <v>0</v>
      </c>
      <c r="M406" s="568">
        <f t="shared" si="187"/>
        <v>0</v>
      </c>
      <c r="N406" s="568">
        <f t="shared" si="187"/>
        <v>0</v>
      </c>
      <c r="O406" s="569">
        <f t="shared" si="187"/>
        <v>0</v>
      </c>
      <c r="P406" s="569">
        <f t="shared" si="187"/>
        <v>0</v>
      </c>
      <c r="Q406" s="569">
        <f t="shared" si="187"/>
        <v>0</v>
      </c>
      <c r="R406" s="569">
        <f t="shared" si="187"/>
        <v>0</v>
      </c>
      <c r="S406" s="132">
        <f t="shared" si="163"/>
        <v>0</v>
      </c>
    </row>
    <row r="407" spans="1:19" s="77" customFormat="1" ht="31.15" hidden="1" x14ac:dyDescent="0.3">
      <c r="A407" s="264" t="s">
        <v>124</v>
      </c>
      <c r="B407" s="380" t="s">
        <v>76</v>
      </c>
      <c r="C407" s="488" t="s">
        <v>14</v>
      </c>
      <c r="D407" s="380" t="s">
        <v>25</v>
      </c>
      <c r="E407" s="265" t="s">
        <v>423</v>
      </c>
      <c r="F407" s="380" t="s">
        <v>117</v>
      </c>
      <c r="G407" s="282"/>
      <c r="H407" s="303"/>
      <c r="I407" s="265"/>
      <c r="J407" s="265"/>
      <c r="K407" s="265"/>
      <c r="L407" s="265"/>
      <c r="M407" s="570"/>
      <c r="N407" s="570"/>
      <c r="O407" s="571"/>
      <c r="P407" s="571"/>
      <c r="Q407" s="571"/>
      <c r="R407" s="571"/>
      <c r="S407" s="131">
        <f t="shared" si="163"/>
        <v>0</v>
      </c>
    </row>
    <row r="408" spans="1:19" s="77" customFormat="1" ht="31.15" hidden="1" x14ac:dyDescent="0.3">
      <c r="A408" s="267" t="s">
        <v>570</v>
      </c>
      <c r="B408" s="497" t="s">
        <v>76</v>
      </c>
      <c r="C408" s="496" t="s">
        <v>14</v>
      </c>
      <c r="D408" s="497" t="s">
        <v>25</v>
      </c>
      <c r="E408" s="285" t="s">
        <v>424</v>
      </c>
      <c r="F408" s="497" t="s">
        <v>9</v>
      </c>
      <c r="G408" s="283">
        <f t="shared" ref="G408:R408" si="188">G409</f>
        <v>0</v>
      </c>
      <c r="H408" s="304">
        <f t="shared" si="188"/>
        <v>0</v>
      </c>
      <c r="I408" s="283">
        <f t="shared" si="188"/>
        <v>0</v>
      </c>
      <c r="J408" s="283">
        <f t="shared" si="188"/>
        <v>0</v>
      </c>
      <c r="K408" s="283">
        <f t="shared" si="188"/>
        <v>0</v>
      </c>
      <c r="L408" s="283">
        <f t="shared" si="188"/>
        <v>0</v>
      </c>
      <c r="M408" s="568">
        <f t="shared" si="188"/>
        <v>0</v>
      </c>
      <c r="N408" s="568">
        <f t="shared" si="188"/>
        <v>0</v>
      </c>
      <c r="O408" s="569">
        <f t="shared" si="188"/>
        <v>0</v>
      </c>
      <c r="P408" s="569">
        <f t="shared" si="188"/>
        <v>0</v>
      </c>
      <c r="Q408" s="569">
        <f t="shared" si="188"/>
        <v>0</v>
      </c>
      <c r="R408" s="569">
        <f t="shared" si="188"/>
        <v>0</v>
      </c>
      <c r="S408" s="132">
        <f t="shared" si="163"/>
        <v>0</v>
      </c>
    </row>
    <row r="409" spans="1:19" s="77" customFormat="1" ht="31.15" hidden="1" x14ac:dyDescent="0.3">
      <c r="A409" s="264" t="s">
        <v>124</v>
      </c>
      <c r="B409" s="380" t="s">
        <v>76</v>
      </c>
      <c r="C409" s="488" t="s">
        <v>14</v>
      </c>
      <c r="D409" s="380" t="s">
        <v>25</v>
      </c>
      <c r="E409" s="265" t="s">
        <v>424</v>
      </c>
      <c r="F409" s="380" t="s">
        <v>117</v>
      </c>
      <c r="G409" s="282"/>
      <c r="H409" s="303"/>
      <c r="I409" s="265"/>
      <c r="J409" s="265"/>
      <c r="K409" s="265"/>
      <c r="L409" s="265"/>
      <c r="M409" s="570"/>
      <c r="N409" s="570"/>
      <c r="O409" s="571"/>
      <c r="P409" s="571"/>
      <c r="Q409" s="571"/>
      <c r="R409" s="571"/>
      <c r="S409" s="131">
        <f t="shared" si="163"/>
        <v>0</v>
      </c>
    </row>
    <row r="410" spans="1:19" s="80" customFormat="1" x14ac:dyDescent="0.25">
      <c r="A410" s="267" t="s">
        <v>656</v>
      </c>
      <c r="B410" s="497" t="s">
        <v>76</v>
      </c>
      <c r="C410" s="496" t="s">
        <v>14</v>
      </c>
      <c r="D410" s="497" t="s">
        <v>58</v>
      </c>
      <c r="E410" s="285" t="s">
        <v>365</v>
      </c>
      <c r="F410" s="497" t="s">
        <v>9</v>
      </c>
      <c r="G410" s="283">
        <f t="shared" ref="G410:R412" si="189">G411</f>
        <v>5.3</v>
      </c>
      <c r="H410" s="304">
        <f t="shared" si="189"/>
        <v>0</v>
      </c>
      <c r="I410" s="283">
        <f t="shared" si="189"/>
        <v>0</v>
      </c>
      <c r="J410" s="283">
        <f t="shared" si="189"/>
        <v>0</v>
      </c>
      <c r="K410" s="283">
        <f t="shared" si="189"/>
        <v>0</v>
      </c>
      <c r="L410" s="283">
        <f t="shared" si="189"/>
        <v>0</v>
      </c>
      <c r="M410" s="568">
        <f t="shared" si="189"/>
        <v>0</v>
      </c>
      <c r="N410" s="568">
        <f t="shared" si="189"/>
        <v>0</v>
      </c>
      <c r="O410" s="569">
        <f t="shared" si="189"/>
        <v>0</v>
      </c>
      <c r="P410" s="569">
        <f t="shared" si="189"/>
        <v>0</v>
      </c>
      <c r="Q410" s="569">
        <f t="shared" si="189"/>
        <v>0</v>
      </c>
      <c r="R410" s="569">
        <f t="shared" si="189"/>
        <v>0</v>
      </c>
      <c r="S410" s="132">
        <f t="shared" si="163"/>
        <v>5.3</v>
      </c>
    </row>
    <row r="411" spans="1:19" s="80" customFormat="1" ht="31.5" x14ac:dyDescent="0.25">
      <c r="A411" s="267" t="s">
        <v>784</v>
      </c>
      <c r="B411" s="497" t="s">
        <v>76</v>
      </c>
      <c r="C411" s="496" t="s">
        <v>14</v>
      </c>
      <c r="D411" s="497" t="s">
        <v>58</v>
      </c>
      <c r="E411" s="285" t="s">
        <v>380</v>
      </c>
      <c r="F411" s="497" t="s">
        <v>9</v>
      </c>
      <c r="G411" s="283">
        <f t="shared" si="189"/>
        <v>5.3</v>
      </c>
      <c r="H411" s="304">
        <f t="shared" si="189"/>
        <v>0</v>
      </c>
      <c r="I411" s="283">
        <f t="shared" si="189"/>
        <v>0</v>
      </c>
      <c r="J411" s="283">
        <f t="shared" si="189"/>
        <v>0</v>
      </c>
      <c r="K411" s="283">
        <f t="shared" si="189"/>
        <v>0</v>
      </c>
      <c r="L411" s="283">
        <f t="shared" si="189"/>
        <v>0</v>
      </c>
      <c r="M411" s="568">
        <f t="shared" si="189"/>
        <v>0</v>
      </c>
      <c r="N411" s="568">
        <f t="shared" si="189"/>
        <v>0</v>
      </c>
      <c r="O411" s="569">
        <f t="shared" si="189"/>
        <v>0</v>
      </c>
      <c r="P411" s="569">
        <f t="shared" si="189"/>
        <v>0</v>
      </c>
      <c r="Q411" s="569">
        <f t="shared" si="189"/>
        <v>0</v>
      </c>
      <c r="R411" s="569">
        <f t="shared" si="189"/>
        <v>0</v>
      </c>
      <c r="S411" s="132">
        <f t="shared" si="163"/>
        <v>5.3</v>
      </c>
    </row>
    <row r="412" spans="1:19" s="80" customFormat="1" ht="63" x14ac:dyDescent="0.25">
      <c r="A412" s="267" t="s">
        <v>655</v>
      </c>
      <c r="B412" s="497" t="s">
        <v>76</v>
      </c>
      <c r="C412" s="496" t="s">
        <v>14</v>
      </c>
      <c r="D412" s="497" t="s">
        <v>58</v>
      </c>
      <c r="E412" s="285" t="s">
        <v>654</v>
      </c>
      <c r="F412" s="497" t="s">
        <v>9</v>
      </c>
      <c r="G412" s="283">
        <f t="shared" si="189"/>
        <v>5.3</v>
      </c>
      <c r="H412" s="304">
        <f t="shared" si="189"/>
        <v>0</v>
      </c>
      <c r="I412" s="283">
        <f t="shared" si="189"/>
        <v>0</v>
      </c>
      <c r="J412" s="283">
        <f t="shared" si="189"/>
        <v>0</v>
      </c>
      <c r="K412" s="283">
        <f t="shared" si="189"/>
        <v>0</v>
      </c>
      <c r="L412" s="283">
        <f t="shared" si="189"/>
        <v>0</v>
      </c>
      <c r="M412" s="568">
        <f t="shared" si="189"/>
        <v>0</v>
      </c>
      <c r="N412" s="568">
        <f t="shared" si="189"/>
        <v>0</v>
      </c>
      <c r="O412" s="569">
        <f t="shared" si="189"/>
        <v>0</v>
      </c>
      <c r="P412" s="569">
        <f t="shared" si="189"/>
        <v>0</v>
      </c>
      <c r="Q412" s="569">
        <f t="shared" si="189"/>
        <v>0</v>
      </c>
      <c r="R412" s="569">
        <f t="shared" si="189"/>
        <v>0</v>
      </c>
      <c r="S412" s="132">
        <f t="shared" si="163"/>
        <v>5.3</v>
      </c>
    </row>
    <row r="413" spans="1:19" s="77" customFormat="1" ht="31.5" x14ac:dyDescent="0.25">
      <c r="A413" s="264" t="s">
        <v>124</v>
      </c>
      <c r="B413" s="380" t="s">
        <v>76</v>
      </c>
      <c r="C413" s="488" t="s">
        <v>14</v>
      </c>
      <c r="D413" s="380" t="s">
        <v>58</v>
      </c>
      <c r="E413" s="265" t="s">
        <v>654</v>
      </c>
      <c r="F413" s="380" t="s">
        <v>117</v>
      </c>
      <c r="G413" s="300">
        <v>5.3</v>
      </c>
      <c r="H413" s="303"/>
      <c r="I413" s="265"/>
      <c r="J413" s="265"/>
      <c r="K413" s="265"/>
      <c r="L413" s="265"/>
      <c r="M413" s="570"/>
      <c r="N413" s="570"/>
      <c r="O413" s="571"/>
      <c r="P413" s="571"/>
      <c r="Q413" s="571"/>
      <c r="R413" s="571"/>
      <c r="S413" s="566">
        <f t="shared" si="163"/>
        <v>5.3</v>
      </c>
    </row>
    <row r="414" spans="1:19" s="80" customFormat="1" x14ac:dyDescent="0.25">
      <c r="A414" s="267" t="s">
        <v>863</v>
      </c>
      <c r="B414" s="497" t="s">
        <v>76</v>
      </c>
      <c r="C414" s="496" t="s">
        <v>14</v>
      </c>
      <c r="D414" s="497" t="s">
        <v>31</v>
      </c>
      <c r="E414" s="285" t="s">
        <v>365</v>
      </c>
      <c r="F414" s="497" t="s">
        <v>9</v>
      </c>
      <c r="G414" s="283">
        <f t="shared" ref="G414:R416" si="190">G415</f>
        <v>0</v>
      </c>
      <c r="H414" s="304">
        <f t="shared" si="190"/>
        <v>0</v>
      </c>
      <c r="I414" s="283">
        <f t="shared" si="190"/>
        <v>0</v>
      </c>
      <c r="J414" s="283">
        <f t="shared" si="190"/>
        <v>0</v>
      </c>
      <c r="K414" s="283">
        <f t="shared" si="190"/>
        <v>0</v>
      </c>
      <c r="L414" s="283">
        <f t="shared" si="190"/>
        <v>0</v>
      </c>
      <c r="M414" s="568">
        <f t="shared" si="190"/>
        <v>300</v>
      </c>
      <c r="N414" s="568">
        <f t="shared" si="190"/>
        <v>0</v>
      </c>
      <c r="O414" s="569">
        <f t="shared" si="190"/>
        <v>0</v>
      </c>
      <c r="P414" s="569">
        <f t="shared" si="190"/>
        <v>0</v>
      </c>
      <c r="Q414" s="569">
        <f t="shared" si="190"/>
        <v>0</v>
      </c>
      <c r="R414" s="569">
        <f t="shared" si="190"/>
        <v>0</v>
      </c>
      <c r="S414" s="132">
        <f t="shared" si="163"/>
        <v>300</v>
      </c>
    </row>
    <row r="415" spans="1:19" s="80" customFormat="1" ht="31.5" x14ac:dyDescent="0.25">
      <c r="A415" s="267" t="s">
        <v>784</v>
      </c>
      <c r="B415" s="497" t="s">
        <v>76</v>
      </c>
      <c r="C415" s="496" t="s">
        <v>14</v>
      </c>
      <c r="D415" s="497" t="s">
        <v>31</v>
      </c>
      <c r="E415" s="285" t="s">
        <v>380</v>
      </c>
      <c r="F415" s="497" t="s">
        <v>9</v>
      </c>
      <c r="G415" s="283">
        <f t="shared" si="190"/>
        <v>0</v>
      </c>
      <c r="H415" s="304">
        <f t="shared" si="190"/>
        <v>0</v>
      </c>
      <c r="I415" s="283">
        <f t="shared" si="190"/>
        <v>0</v>
      </c>
      <c r="J415" s="283">
        <f t="shared" si="190"/>
        <v>0</v>
      </c>
      <c r="K415" s="283">
        <f t="shared" si="190"/>
        <v>0</v>
      </c>
      <c r="L415" s="283">
        <f t="shared" si="190"/>
        <v>0</v>
      </c>
      <c r="M415" s="568">
        <f t="shared" si="190"/>
        <v>300</v>
      </c>
      <c r="N415" s="568">
        <f t="shared" si="190"/>
        <v>0</v>
      </c>
      <c r="O415" s="569">
        <f t="shared" si="190"/>
        <v>0</v>
      </c>
      <c r="P415" s="569">
        <f t="shared" si="190"/>
        <v>0</v>
      </c>
      <c r="Q415" s="569">
        <f t="shared" si="190"/>
        <v>0</v>
      </c>
      <c r="R415" s="569">
        <f t="shared" si="190"/>
        <v>0</v>
      </c>
      <c r="S415" s="132">
        <f t="shared" si="163"/>
        <v>300</v>
      </c>
    </row>
    <row r="416" spans="1:19" s="77" customFormat="1" ht="31.5" x14ac:dyDescent="0.25">
      <c r="A416" s="267" t="s">
        <v>862</v>
      </c>
      <c r="B416" s="497" t="s">
        <v>76</v>
      </c>
      <c r="C416" s="496" t="s">
        <v>14</v>
      </c>
      <c r="D416" s="497" t="s">
        <v>31</v>
      </c>
      <c r="E416" s="285" t="s">
        <v>861</v>
      </c>
      <c r="F416" s="497" t="s">
        <v>9</v>
      </c>
      <c r="G416" s="283">
        <f t="shared" si="190"/>
        <v>0</v>
      </c>
      <c r="H416" s="304">
        <f t="shared" si="190"/>
        <v>0</v>
      </c>
      <c r="I416" s="283">
        <f t="shared" si="190"/>
        <v>0</v>
      </c>
      <c r="J416" s="283">
        <f t="shared" si="190"/>
        <v>0</v>
      </c>
      <c r="K416" s="283">
        <f t="shared" si="190"/>
        <v>0</v>
      </c>
      <c r="L416" s="283">
        <f t="shared" si="190"/>
        <v>0</v>
      </c>
      <c r="M416" s="568">
        <f>M417+M418</f>
        <v>300</v>
      </c>
      <c r="N416" s="568">
        <f t="shared" si="190"/>
        <v>0</v>
      </c>
      <c r="O416" s="569">
        <f t="shared" si="190"/>
        <v>0</v>
      </c>
      <c r="P416" s="569">
        <f t="shared" si="190"/>
        <v>0</v>
      </c>
      <c r="Q416" s="569">
        <f t="shared" si="190"/>
        <v>0</v>
      </c>
      <c r="R416" s="569">
        <f t="shared" si="190"/>
        <v>0</v>
      </c>
      <c r="S416" s="132">
        <f t="shared" si="163"/>
        <v>300</v>
      </c>
    </row>
    <row r="417" spans="1:19" s="80" customFormat="1" ht="31.15" hidden="1" x14ac:dyDescent="0.3">
      <c r="A417" s="264" t="s">
        <v>124</v>
      </c>
      <c r="B417" s="380" t="s">
        <v>76</v>
      </c>
      <c r="C417" s="488" t="s">
        <v>14</v>
      </c>
      <c r="D417" s="380" t="s">
        <v>31</v>
      </c>
      <c r="E417" s="265" t="s">
        <v>861</v>
      </c>
      <c r="F417" s="380" t="s">
        <v>117</v>
      </c>
      <c r="G417" s="282"/>
      <c r="H417" s="303"/>
      <c r="I417" s="265"/>
      <c r="J417" s="282"/>
      <c r="K417" s="265"/>
      <c r="L417" s="265"/>
      <c r="M417" s="570"/>
      <c r="N417" s="570"/>
      <c r="O417" s="571"/>
      <c r="P417" s="571"/>
      <c r="Q417" s="571"/>
      <c r="R417" s="571"/>
      <c r="S417" s="131">
        <f t="shared" si="163"/>
        <v>0</v>
      </c>
    </row>
    <row r="418" spans="1:19" s="80" customFormat="1" x14ac:dyDescent="0.25">
      <c r="A418" s="264" t="s">
        <v>116</v>
      </c>
      <c r="B418" s="380" t="s">
        <v>76</v>
      </c>
      <c r="C418" s="488" t="s">
        <v>14</v>
      </c>
      <c r="D418" s="380" t="s">
        <v>31</v>
      </c>
      <c r="E418" s="265" t="s">
        <v>861</v>
      </c>
      <c r="F418" s="380" t="s">
        <v>114</v>
      </c>
      <c r="G418" s="282"/>
      <c r="H418" s="303"/>
      <c r="I418" s="265"/>
      <c r="J418" s="282"/>
      <c r="K418" s="265"/>
      <c r="L418" s="265"/>
      <c r="M418" s="602">
        <v>300</v>
      </c>
      <c r="N418" s="570"/>
      <c r="O418" s="571"/>
      <c r="P418" s="571"/>
      <c r="Q418" s="571"/>
      <c r="R418" s="571"/>
      <c r="S418" s="566">
        <f t="shared" si="163"/>
        <v>300</v>
      </c>
    </row>
    <row r="419" spans="1:19" s="77" customFormat="1" x14ac:dyDescent="0.25">
      <c r="A419" s="267" t="s">
        <v>27</v>
      </c>
      <c r="B419" s="497" t="s">
        <v>76</v>
      </c>
      <c r="C419" s="496" t="s">
        <v>14</v>
      </c>
      <c r="D419" s="497" t="s">
        <v>28</v>
      </c>
      <c r="E419" s="285" t="s">
        <v>365</v>
      </c>
      <c r="F419" s="497" t="s">
        <v>9</v>
      </c>
      <c r="G419" s="283">
        <f t="shared" ref="G419:R419" si="191">G430+G420</f>
        <v>122.39999999999999</v>
      </c>
      <c r="H419" s="304">
        <f t="shared" si="191"/>
        <v>23453.06</v>
      </c>
      <c r="I419" s="283">
        <f t="shared" si="191"/>
        <v>-4.4191600000000006</v>
      </c>
      <c r="J419" s="283">
        <f t="shared" si="191"/>
        <v>4525.2924999999996</v>
      </c>
      <c r="K419" s="283">
        <f t="shared" si="191"/>
        <v>817.59999999999991</v>
      </c>
      <c r="L419" s="283">
        <f t="shared" si="191"/>
        <v>2136.4226199999998</v>
      </c>
      <c r="M419" s="568">
        <f t="shared" si="191"/>
        <v>861.70049999999992</v>
      </c>
      <c r="N419" s="568">
        <f t="shared" si="191"/>
        <v>1880.8594999999998</v>
      </c>
      <c r="O419" s="413">
        <f t="shared" si="191"/>
        <v>0</v>
      </c>
      <c r="P419" s="413">
        <f t="shared" si="191"/>
        <v>0</v>
      </c>
      <c r="Q419" s="413">
        <f t="shared" si="191"/>
        <v>0</v>
      </c>
      <c r="R419" s="413">
        <f t="shared" si="191"/>
        <v>0</v>
      </c>
      <c r="S419" s="132">
        <f t="shared" si="163"/>
        <v>33792.915959999998</v>
      </c>
    </row>
    <row r="420" spans="1:19" s="80" customFormat="1" ht="31.5" x14ac:dyDescent="0.25">
      <c r="A420" s="267" t="s">
        <v>786</v>
      </c>
      <c r="B420" s="497" t="s">
        <v>76</v>
      </c>
      <c r="C420" s="496" t="s">
        <v>14</v>
      </c>
      <c r="D420" s="497" t="s">
        <v>28</v>
      </c>
      <c r="E420" s="285" t="s">
        <v>405</v>
      </c>
      <c r="F420" s="497" t="s">
        <v>9</v>
      </c>
      <c r="G420" s="283">
        <f t="shared" ref="G420:R420" si="192">G421+G424+G428</f>
        <v>0</v>
      </c>
      <c r="H420" s="283">
        <f t="shared" si="192"/>
        <v>610</v>
      </c>
      <c r="I420" s="283">
        <f t="shared" si="192"/>
        <v>-4.5541600000000004</v>
      </c>
      <c r="J420" s="283">
        <f t="shared" si="192"/>
        <v>0</v>
      </c>
      <c r="K420" s="283">
        <f t="shared" si="192"/>
        <v>0</v>
      </c>
      <c r="L420" s="283">
        <f t="shared" si="192"/>
        <v>0</v>
      </c>
      <c r="M420" s="568">
        <f t="shared" si="192"/>
        <v>59.16</v>
      </c>
      <c r="N420" s="568">
        <f t="shared" si="192"/>
        <v>373.79999999999995</v>
      </c>
      <c r="O420" s="569">
        <f t="shared" si="192"/>
        <v>0</v>
      </c>
      <c r="P420" s="569">
        <f t="shared" si="192"/>
        <v>0</v>
      </c>
      <c r="Q420" s="569">
        <f t="shared" si="192"/>
        <v>0</v>
      </c>
      <c r="R420" s="569">
        <f t="shared" si="192"/>
        <v>0</v>
      </c>
      <c r="S420" s="132">
        <f t="shared" si="163"/>
        <v>1038.4058399999999</v>
      </c>
    </row>
    <row r="421" spans="1:19" s="80" customFormat="1" ht="15.6" hidden="1" x14ac:dyDescent="0.3">
      <c r="A421" s="267" t="s">
        <v>127</v>
      </c>
      <c r="B421" s="497" t="s">
        <v>76</v>
      </c>
      <c r="C421" s="496" t="s">
        <v>14</v>
      </c>
      <c r="D421" s="497" t="s">
        <v>28</v>
      </c>
      <c r="E421" s="285" t="s">
        <v>406</v>
      </c>
      <c r="F421" s="497" t="s">
        <v>9</v>
      </c>
      <c r="G421" s="283">
        <f t="shared" ref="G421:R422" si="193">G422</f>
        <v>0</v>
      </c>
      <c r="H421" s="283">
        <f t="shared" si="193"/>
        <v>0</v>
      </c>
      <c r="I421" s="283">
        <f t="shared" si="193"/>
        <v>0</v>
      </c>
      <c r="J421" s="283">
        <f t="shared" si="193"/>
        <v>0</v>
      </c>
      <c r="K421" s="283">
        <f t="shared" si="193"/>
        <v>0</v>
      </c>
      <c r="L421" s="283">
        <f t="shared" si="193"/>
        <v>0</v>
      </c>
      <c r="M421" s="568">
        <f t="shared" si="193"/>
        <v>0</v>
      </c>
      <c r="N421" s="568">
        <f t="shared" si="193"/>
        <v>0</v>
      </c>
      <c r="O421" s="569">
        <f t="shared" si="193"/>
        <v>0</v>
      </c>
      <c r="P421" s="569">
        <f t="shared" si="193"/>
        <v>0</v>
      </c>
      <c r="Q421" s="569">
        <f t="shared" si="193"/>
        <v>0</v>
      </c>
      <c r="R421" s="569">
        <f t="shared" si="193"/>
        <v>0</v>
      </c>
      <c r="S421" s="132">
        <f t="shared" si="163"/>
        <v>0</v>
      </c>
    </row>
    <row r="422" spans="1:19" s="80" customFormat="1" ht="46.9" hidden="1" x14ac:dyDescent="0.3">
      <c r="A422" s="267" t="s">
        <v>121</v>
      </c>
      <c r="B422" s="497" t="s">
        <v>76</v>
      </c>
      <c r="C422" s="496" t="s">
        <v>14</v>
      </c>
      <c r="D422" s="497" t="s">
        <v>28</v>
      </c>
      <c r="E422" s="285" t="s">
        <v>410</v>
      </c>
      <c r="F422" s="497" t="s">
        <v>9</v>
      </c>
      <c r="G422" s="283">
        <f t="shared" si="193"/>
        <v>0</v>
      </c>
      <c r="H422" s="283">
        <f t="shared" si="193"/>
        <v>0</v>
      </c>
      <c r="I422" s="283">
        <f t="shared" si="193"/>
        <v>0</v>
      </c>
      <c r="J422" s="283">
        <f t="shared" si="193"/>
        <v>0</v>
      </c>
      <c r="K422" s="283">
        <f t="shared" si="193"/>
        <v>0</v>
      </c>
      <c r="L422" s="283">
        <f t="shared" si="193"/>
        <v>0</v>
      </c>
      <c r="M422" s="568">
        <f t="shared" si="193"/>
        <v>0</v>
      </c>
      <c r="N422" s="568">
        <f t="shared" si="193"/>
        <v>0</v>
      </c>
      <c r="O422" s="569">
        <f t="shared" si="193"/>
        <v>0</v>
      </c>
      <c r="P422" s="569">
        <f t="shared" si="193"/>
        <v>0</v>
      </c>
      <c r="Q422" s="569">
        <f t="shared" si="193"/>
        <v>0</v>
      </c>
      <c r="R422" s="569">
        <f t="shared" si="193"/>
        <v>0</v>
      </c>
      <c r="S422" s="132">
        <f t="shared" ref="S422:S491" si="194">G422+H422+I422+J422+K422+L422+M422+N422+O422+P422+Q422+R422</f>
        <v>0</v>
      </c>
    </row>
    <row r="423" spans="1:19" s="77" customFormat="1" ht="31.15" hidden="1" x14ac:dyDescent="0.3">
      <c r="A423" s="264" t="s">
        <v>124</v>
      </c>
      <c r="B423" s="380" t="s">
        <v>76</v>
      </c>
      <c r="C423" s="488" t="s">
        <v>14</v>
      </c>
      <c r="D423" s="380" t="s">
        <v>28</v>
      </c>
      <c r="E423" s="265" t="s">
        <v>410</v>
      </c>
      <c r="F423" s="380" t="s">
        <v>117</v>
      </c>
      <c r="G423" s="282"/>
      <c r="H423" s="282"/>
      <c r="I423" s="265"/>
      <c r="J423" s="265"/>
      <c r="K423" s="265"/>
      <c r="L423" s="265"/>
      <c r="M423" s="570"/>
      <c r="N423" s="570"/>
      <c r="O423" s="571"/>
      <c r="P423" s="571"/>
      <c r="Q423" s="571"/>
      <c r="R423" s="571"/>
      <c r="S423" s="131">
        <f t="shared" si="194"/>
        <v>0</v>
      </c>
    </row>
    <row r="424" spans="1:19" s="80" customFormat="1" ht="47.25" x14ac:dyDescent="0.25">
      <c r="A424" s="267" t="s">
        <v>572</v>
      </c>
      <c r="B424" s="497" t="s">
        <v>76</v>
      </c>
      <c r="C424" s="496" t="s">
        <v>14</v>
      </c>
      <c r="D424" s="497" t="s">
        <v>28</v>
      </c>
      <c r="E424" s="285" t="s">
        <v>408</v>
      </c>
      <c r="F424" s="497" t="s">
        <v>9</v>
      </c>
      <c r="G424" s="283">
        <f t="shared" ref="G424:R424" si="195">G425</f>
        <v>0</v>
      </c>
      <c r="H424" s="283">
        <f t="shared" si="195"/>
        <v>46.9</v>
      </c>
      <c r="I424" s="283">
        <f t="shared" si="195"/>
        <v>0</v>
      </c>
      <c r="J424" s="283">
        <f t="shared" si="195"/>
        <v>0</v>
      </c>
      <c r="K424" s="283">
        <f t="shared" si="195"/>
        <v>0</v>
      </c>
      <c r="L424" s="283">
        <f t="shared" si="195"/>
        <v>0</v>
      </c>
      <c r="M424" s="568">
        <f t="shared" si="195"/>
        <v>0</v>
      </c>
      <c r="N424" s="568">
        <f t="shared" si="195"/>
        <v>0</v>
      </c>
      <c r="O424" s="569">
        <f t="shared" si="195"/>
        <v>0</v>
      </c>
      <c r="P424" s="569">
        <f t="shared" si="195"/>
        <v>0</v>
      </c>
      <c r="Q424" s="569">
        <f t="shared" si="195"/>
        <v>0</v>
      </c>
      <c r="R424" s="569">
        <f t="shared" si="195"/>
        <v>0</v>
      </c>
      <c r="S424" s="132">
        <f t="shared" si="194"/>
        <v>46.9</v>
      </c>
    </row>
    <row r="425" spans="1:19" s="80" customFormat="1" ht="31.5" x14ac:dyDescent="0.25">
      <c r="A425" s="267" t="s">
        <v>29</v>
      </c>
      <c r="B425" s="497" t="s">
        <v>76</v>
      </c>
      <c r="C425" s="496" t="s">
        <v>14</v>
      </c>
      <c r="D425" s="497" t="s">
        <v>28</v>
      </c>
      <c r="E425" s="285" t="s">
        <v>411</v>
      </c>
      <c r="F425" s="497" t="s">
        <v>9</v>
      </c>
      <c r="G425" s="283">
        <f t="shared" ref="G425:R425" si="196">G426+G427</f>
        <v>0</v>
      </c>
      <c r="H425" s="283">
        <f t="shared" si="196"/>
        <v>46.9</v>
      </c>
      <c r="I425" s="283">
        <f t="shared" si="196"/>
        <v>0</v>
      </c>
      <c r="J425" s="283">
        <f t="shared" si="196"/>
        <v>0</v>
      </c>
      <c r="K425" s="283">
        <f t="shared" si="196"/>
        <v>0</v>
      </c>
      <c r="L425" s="283">
        <f t="shared" si="196"/>
        <v>0</v>
      </c>
      <c r="M425" s="568">
        <f t="shared" si="196"/>
        <v>0</v>
      </c>
      <c r="N425" s="568">
        <f t="shared" si="196"/>
        <v>0</v>
      </c>
      <c r="O425" s="569">
        <f t="shared" si="196"/>
        <v>0</v>
      </c>
      <c r="P425" s="569">
        <f t="shared" si="196"/>
        <v>0</v>
      </c>
      <c r="Q425" s="569">
        <f t="shared" si="196"/>
        <v>0</v>
      </c>
      <c r="R425" s="569">
        <f t="shared" si="196"/>
        <v>0</v>
      </c>
      <c r="S425" s="132">
        <f t="shared" si="194"/>
        <v>46.9</v>
      </c>
    </row>
    <row r="426" spans="1:19" s="77" customFormat="1" ht="62.45" hidden="1" x14ac:dyDescent="0.3">
      <c r="A426" s="264" t="s">
        <v>115</v>
      </c>
      <c r="B426" s="380" t="s">
        <v>76</v>
      </c>
      <c r="C426" s="488" t="s">
        <v>14</v>
      </c>
      <c r="D426" s="380" t="s">
        <v>28</v>
      </c>
      <c r="E426" s="265" t="s">
        <v>411</v>
      </c>
      <c r="F426" s="380" t="s">
        <v>113</v>
      </c>
      <c r="G426" s="282"/>
      <c r="H426" s="282"/>
      <c r="I426" s="265"/>
      <c r="J426" s="265"/>
      <c r="K426" s="265"/>
      <c r="L426" s="265"/>
      <c r="M426" s="570"/>
      <c r="N426" s="570"/>
      <c r="O426" s="571"/>
      <c r="P426" s="571"/>
      <c r="Q426" s="571"/>
      <c r="R426" s="571"/>
      <c r="S426" s="131">
        <f t="shared" si="194"/>
        <v>0</v>
      </c>
    </row>
    <row r="427" spans="1:19" s="77" customFormat="1" ht="31.5" x14ac:dyDescent="0.25">
      <c r="A427" s="264" t="s">
        <v>124</v>
      </c>
      <c r="B427" s="380" t="s">
        <v>76</v>
      </c>
      <c r="C427" s="488" t="s">
        <v>14</v>
      </c>
      <c r="D427" s="380" t="s">
        <v>28</v>
      </c>
      <c r="E427" s="265" t="s">
        <v>411</v>
      </c>
      <c r="F427" s="380" t="s">
        <v>117</v>
      </c>
      <c r="G427" s="282"/>
      <c r="H427" s="282">
        <v>46.9</v>
      </c>
      <c r="I427" s="265"/>
      <c r="J427" s="265"/>
      <c r="K427" s="265"/>
      <c r="L427" s="265"/>
      <c r="M427" s="566"/>
      <c r="N427" s="570"/>
      <c r="O427" s="571"/>
      <c r="P427" s="571"/>
      <c r="Q427" s="571"/>
      <c r="R427" s="571"/>
      <c r="S427" s="566">
        <f t="shared" si="194"/>
        <v>46.9</v>
      </c>
    </row>
    <row r="428" spans="1:19" s="80" customFormat="1" ht="31.5" x14ac:dyDescent="0.25">
      <c r="A428" s="267" t="s">
        <v>122</v>
      </c>
      <c r="B428" s="497" t="s">
        <v>76</v>
      </c>
      <c r="C428" s="496" t="s">
        <v>14</v>
      </c>
      <c r="D428" s="497" t="s">
        <v>28</v>
      </c>
      <c r="E428" s="285" t="s">
        <v>412</v>
      </c>
      <c r="F428" s="497" t="s">
        <v>9</v>
      </c>
      <c r="G428" s="283">
        <f t="shared" ref="G428:R428" si="197">G429</f>
        <v>0</v>
      </c>
      <c r="H428" s="283">
        <f t="shared" si="197"/>
        <v>563.1</v>
      </c>
      <c r="I428" s="283">
        <f t="shared" si="197"/>
        <v>-4.5541600000000004</v>
      </c>
      <c r="J428" s="283">
        <f t="shared" si="197"/>
        <v>0</v>
      </c>
      <c r="K428" s="283">
        <f t="shared" si="197"/>
        <v>0</v>
      </c>
      <c r="L428" s="283">
        <f t="shared" si="197"/>
        <v>0</v>
      </c>
      <c r="M428" s="568">
        <f t="shared" si="197"/>
        <v>59.16</v>
      </c>
      <c r="N428" s="568">
        <f t="shared" si="197"/>
        <v>373.79999999999995</v>
      </c>
      <c r="O428" s="569">
        <f t="shared" si="197"/>
        <v>0</v>
      </c>
      <c r="P428" s="569">
        <f t="shared" si="197"/>
        <v>0</v>
      </c>
      <c r="Q428" s="569">
        <f t="shared" si="197"/>
        <v>0</v>
      </c>
      <c r="R428" s="569">
        <f t="shared" si="197"/>
        <v>0</v>
      </c>
      <c r="S428" s="132">
        <f t="shared" si="194"/>
        <v>991.50583999999992</v>
      </c>
    </row>
    <row r="429" spans="1:19" s="77" customFormat="1" ht="31.5" x14ac:dyDescent="0.25">
      <c r="A429" s="264" t="s">
        <v>124</v>
      </c>
      <c r="B429" s="380">
        <v>936</v>
      </c>
      <c r="C429" s="488" t="s">
        <v>14</v>
      </c>
      <c r="D429" s="380" t="s">
        <v>28</v>
      </c>
      <c r="E429" s="265" t="s">
        <v>412</v>
      </c>
      <c r="F429" s="380" t="s">
        <v>117</v>
      </c>
      <c r="G429" s="282"/>
      <c r="H429" s="282">
        <v>563.1</v>
      </c>
      <c r="I429" s="265">
        <v>-4.5541600000000004</v>
      </c>
      <c r="J429" s="282"/>
      <c r="K429" s="265"/>
      <c r="L429" s="282"/>
      <c r="M429" s="607">
        <f>25.56+33.6</f>
        <v>59.16</v>
      </c>
      <c r="N429" s="570">
        <f>407.4-33.6</f>
        <v>373.79999999999995</v>
      </c>
      <c r="O429" s="571"/>
      <c r="P429" s="571"/>
      <c r="Q429" s="571"/>
      <c r="R429" s="571"/>
      <c r="S429" s="566">
        <f t="shared" si="194"/>
        <v>991.50583999999992</v>
      </c>
    </row>
    <row r="430" spans="1:19" s="80" customFormat="1" ht="31.5" x14ac:dyDescent="0.25">
      <c r="A430" s="267" t="s">
        <v>784</v>
      </c>
      <c r="B430" s="497" t="s">
        <v>76</v>
      </c>
      <c r="C430" s="496" t="s">
        <v>14</v>
      </c>
      <c r="D430" s="497" t="s">
        <v>28</v>
      </c>
      <c r="E430" s="285" t="s">
        <v>380</v>
      </c>
      <c r="F430" s="497" t="s">
        <v>9</v>
      </c>
      <c r="G430" s="283">
        <f t="shared" ref="G430:R430" si="198">G431+G433+G438+G462++G467+G464</f>
        <v>122.39999999999999</v>
      </c>
      <c r="H430" s="304">
        <f t="shared" si="198"/>
        <v>22843.06</v>
      </c>
      <c r="I430" s="283">
        <f t="shared" si="198"/>
        <v>0.13500000000000001</v>
      </c>
      <c r="J430" s="283">
        <f t="shared" si="198"/>
        <v>4525.2924999999996</v>
      </c>
      <c r="K430" s="283">
        <f t="shared" si="198"/>
        <v>817.59999999999991</v>
      </c>
      <c r="L430" s="283">
        <f t="shared" si="198"/>
        <v>2136.4226199999998</v>
      </c>
      <c r="M430" s="568">
        <f t="shared" si="198"/>
        <v>802.54049999999995</v>
      </c>
      <c r="N430" s="568">
        <f t="shared" si="198"/>
        <v>1507.0594999999998</v>
      </c>
      <c r="O430" s="569">
        <f t="shared" si="198"/>
        <v>0</v>
      </c>
      <c r="P430" s="569">
        <f t="shared" si="198"/>
        <v>0</v>
      </c>
      <c r="Q430" s="569">
        <f t="shared" si="198"/>
        <v>0</v>
      </c>
      <c r="R430" s="569">
        <f t="shared" si="198"/>
        <v>0</v>
      </c>
      <c r="S430" s="132">
        <f t="shared" si="194"/>
        <v>32754.510119999999</v>
      </c>
    </row>
    <row r="431" spans="1:19" s="80" customFormat="1" ht="31.15" hidden="1" x14ac:dyDescent="0.3">
      <c r="A431" s="267" t="s">
        <v>561</v>
      </c>
      <c r="B431" s="497" t="s">
        <v>76</v>
      </c>
      <c r="C431" s="496" t="s">
        <v>14</v>
      </c>
      <c r="D431" s="497" t="s">
        <v>28</v>
      </c>
      <c r="E431" s="285" t="s">
        <v>425</v>
      </c>
      <c r="F431" s="497" t="s">
        <v>9</v>
      </c>
      <c r="G431" s="283">
        <f t="shared" ref="G431:R431" si="199">G432</f>
        <v>0</v>
      </c>
      <c r="H431" s="304">
        <f t="shared" si="199"/>
        <v>0</v>
      </c>
      <c r="I431" s="283">
        <f t="shared" si="199"/>
        <v>0</v>
      </c>
      <c r="J431" s="283">
        <f t="shared" si="199"/>
        <v>0</v>
      </c>
      <c r="K431" s="283">
        <f t="shared" si="199"/>
        <v>0</v>
      </c>
      <c r="L431" s="283">
        <f t="shared" si="199"/>
        <v>0</v>
      </c>
      <c r="M431" s="568">
        <f t="shared" si="199"/>
        <v>0</v>
      </c>
      <c r="N431" s="568">
        <f t="shared" si="199"/>
        <v>0</v>
      </c>
      <c r="O431" s="569">
        <f t="shared" si="199"/>
        <v>0</v>
      </c>
      <c r="P431" s="569">
        <f t="shared" si="199"/>
        <v>0</v>
      </c>
      <c r="Q431" s="569">
        <f t="shared" si="199"/>
        <v>0</v>
      </c>
      <c r="R431" s="569">
        <f t="shared" si="199"/>
        <v>0</v>
      </c>
      <c r="S431" s="132">
        <f t="shared" si="194"/>
        <v>0</v>
      </c>
    </row>
    <row r="432" spans="1:19" s="77" customFormat="1" ht="31.15" hidden="1" x14ac:dyDescent="0.3">
      <c r="A432" s="264" t="s">
        <v>124</v>
      </c>
      <c r="B432" s="380" t="s">
        <v>76</v>
      </c>
      <c r="C432" s="488" t="s">
        <v>14</v>
      </c>
      <c r="D432" s="380" t="s">
        <v>28</v>
      </c>
      <c r="E432" s="265" t="s">
        <v>425</v>
      </c>
      <c r="F432" s="380" t="s">
        <v>117</v>
      </c>
      <c r="G432" s="282"/>
      <c r="H432" s="303"/>
      <c r="I432" s="265"/>
      <c r="J432" s="265"/>
      <c r="K432" s="265"/>
      <c r="L432" s="265"/>
      <c r="M432" s="570"/>
      <c r="N432" s="570"/>
      <c r="O432" s="571"/>
      <c r="P432" s="571"/>
      <c r="Q432" s="571"/>
      <c r="R432" s="571"/>
      <c r="S432" s="131">
        <f t="shared" si="194"/>
        <v>0</v>
      </c>
    </row>
    <row r="433" spans="1:19" s="80" customFormat="1" ht="47.25" x14ac:dyDescent="0.25">
      <c r="A433" s="267" t="s">
        <v>1110</v>
      </c>
      <c r="B433" s="497" t="s">
        <v>76</v>
      </c>
      <c r="C433" s="496" t="s">
        <v>14</v>
      </c>
      <c r="D433" s="497" t="s">
        <v>28</v>
      </c>
      <c r="E433" s="285" t="s">
        <v>416</v>
      </c>
      <c r="F433" s="497" t="s">
        <v>9</v>
      </c>
      <c r="G433" s="283">
        <f t="shared" ref="G433:R433" si="200">G434+G436</f>
        <v>122.39999999999999</v>
      </c>
      <c r="H433" s="304">
        <f t="shared" si="200"/>
        <v>0</v>
      </c>
      <c r="I433" s="283">
        <f t="shared" si="200"/>
        <v>0</v>
      </c>
      <c r="J433" s="283">
        <f t="shared" si="200"/>
        <v>0</v>
      </c>
      <c r="K433" s="283">
        <f t="shared" si="200"/>
        <v>0</v>
      </c>
      <c r="L433" s="283">
        <f t="shared" si="200"/>
        <v>0</v>
      </c>
      <c r="M433" s="568">
        <f t="shared" si="200"/>
        <v>0</v>
      </c>
      <c r="N433" s="568">
        <f t="shared" si="200"/>
        <v>0</v>
      </c>
      <c r="O433" s="569">
        <f t="shared" si="200"/>
        <v>0</v>
      </c>
      <c r="P433" s="569">
        <f t="shared" si="200"/>
        <v>0</v>
      </c>
      <c r="Q433" s="569">
        <f t="shared" si="200"/>
        <v>0</v>
      </c>
      <c r="R433" s="569">
        <f t="shared" si="200"/>
        <v>0</v>
      </c>
      <c r="S433" s="132">
        <f t="shared" si="194"/>
        <v>122.39999999999999</v>
      </c>
    </row>
    <row r="434" spans="1:19" s="80" customFormat="1" ht="31.5" x14ac:dyDescent="0.25">
      <c r="A434" s="267" t="s">
        <v>1108</v>
      </c>
      <c r="B434" s="497" t="s">
        <v>76</v>
      </c>
      <c r="C434" s="496" t="s">
        <v>14</v>
      </c>
      <c r="D434" s="497" t="s">
        <v>28</v>
      </c>
      <c r="E434" s="285" t="s">
        <v>426</v>
      </c>
      <c r="F434" s="497" t="s">
        <v>9</v>
      </c>
      <c r="G434" s="283">
        <f t="shared" ref="G434:R434" si="201">G435</f>
        <v>122.3</v>
      </c>
      <c r="H434" s="304">
        <f t="shared" si="201"/>
        <v>0</v>
      </c>
      <c r="I434" s="283">
        <f t="shared" si="201"/>
        <v>0</v>
      </c>
      <c r="J434" s="283">
        <f t="shared" si="201"/>
        <v>0</v>
      </c>
      <c r="K434" s="283">
        <f t="shared" si="201"/>
        <v>0</v>
      </c>
      <c r="L434" s="283">
        <f t="shared" si="201"/>
        <v>0</v>
      </c>
      <c r="M434" s="568">
        <f t="shared" si="201"/>
        <v>0</v>
      </c>
      <c r="N434" s="568">
        <f t="shared" si="201"/>
        <v>0</v>
      </c>
      <c r="O434" s="569">
        <f t="shared" si="201"/>
        <v>0</v>
      </c>
      <c r="P434" s="569">
        <f t="shared" si="201"/>
        <v>0</v>
      </c>
      <c r="Q434" s="569">
        <f t="shared" si="201"/>
        <v>0</v>
      </c>
      <c r="R434" s="569">
        <f t="shared" si="201"/>
        <v>0</v>
      </c>
      <c r="S434" s="132">
        <f t="shared" si="194"/>
        <v>122.3</v>
      </c>
    </row>
    <row r="435" spans="1:19" s="77" customFormat="1" ht="31.5" x14ac:dyDescent="0.25">
      <c r="A435" s="264" t="s">
        <v>124</v>
      </c>
      <c r="B435" s="380" t="s">
        <v>76</v>
      </c>
      <c r="C435" s="488" t="s">
        <v>14</v>
      </c>
      <c r="D435" s="380" t="s">
        <v>28</v>
      </c>
      <c r="E435" s="265" t="s">
        <v>426</v>
      </c>
      <c r="F435" s="380" t="s">
        <v>117</v>
      </c>
      <c r="G435" s="300">
        <v>122.3</v>
      </c>
      <c r="H435" s="303"/>
      <c r="I435" s="265"/>
      <c r="J435" s="265"/>
      <c r="K435" s="265"/>
      <c r="L435" s="265"/>
      <c r="M435" s="570"/>
      <c r="N435" s="570"/>
      <c r="O435" s="571"/>
      <c r="P435" s="571"/>
      <c r="Q435" s="571"/>
      <c r="R435" s="571"/>
      <c r="S435" s="566">
        <f t="shared" si="194"/>
        <v>122.3</v>
      </c>
    </row>
    <row r="436" spans="1:19" s="77" customFormat="1" ht="31.5" x14ac:dyDescent="0.25">
      <c r="A436" s="267" t="s">
        <v>1112</v>
      </c>
      <c r="B436" s="497" t="s">
        <v>76</v>
      </c>
      <c r="C436" s="496" t="s">
        <v>14</v>
      </c>
      <c r="D436" s="497" t="s">
        <v>28</v>
      </c>
      <c r="E436" s="285" t="s">
        <v>427</v>
      </c>
      <c r="F436" s="497" t="s">
        <v>9</v>
      </c>
      <c r="G436" s="283">
        <f t="shared" ref="G436:R436" si="202">G437</f>
        <v>0.1</v>
      </c>
      <c r="H436" s="304">
        <f t="shared" si="202"/>
        <v>0</v>
      </c>
      <c r="I436" s="283">
        <f t="shared" si="202"/>
        <v>0</v>
      </c>
      <c r="J436" s="283">
        <f t="shared" si="202"/>
        <v>0</v>
      </c>
      <c r="K436" s="283">
        <f t="shared" si="202"/>
        <v>0</v>
      </c>
      <c r="L436" s="283">
        <f t="shared" si="202"/>
        <v>0</v>
      </c>
      <c r="M436" s="568">
        <f t="shared" si="202"/>
        <v>0</v>
      </c>
      <c r="N436" s="568">
        <f t="shared" si="202"/>
        <v>0</v>
      </c>
      <c r="O436" s="569">
        <f t="shared" si="202"/>
        <v>0</v>
      </c>
      <c r="P436" s="569">
        <f t="shared" si="202"/>
        <v>0</v>
      </c>
      <c r="Q436" s="569">
        <f t="shared" si="202"/>
        <v>0</v>
      </c>
      <c r="R436" s="569">
        <f t="shared" si="202"/>
        <v>0</v>
      </c>
      <c r="S436" s="132">
        <f t="shared" si="194"/>
        <v>0.1</v>
      </c>
    </row>
    <row r="437" spans="1:19" s="80" customFormat="1" ht="31.5" x14ac:dyDescent="0.25">
      <c r="A437" s="264" t="s">
        <v>124</v>
      </c>
      <c r="B437" s="380" t="s">
        <v>76</v>
      </c>
      <c r="C437" s="488" t="s">
        <v>14</v>
      </c>
      <c r="D437" s="380" t="s">
        <v>28</v>
      </c>
      <c r="E437" s="265" t="s">
        <v>427</v>
      </c>
      <c r="F437" s="380" t="s">
        <v>117</v>
      </c>
      <c r="G437" s="300">
        <v>0.1</v>
      </c>
      <c r="H437" s="303"/>
      <c r="I437" s="265"/>
      <c r="J437" s="265"/>
      <c r="K437" s="265"/>
      <c r="L437" s="265"/>
      <c r="M437" s="570"/>
      <c r="N437" s="570"/>
      <c r="O437" s="571"/>
      <c r="P437" s="571"/>
      <c r="Q437" s="571"/>
      <c r="R437" s="571"/>
      <c r="S437" s="566">
        <f t="shared" si="194"/>
        <v>0.1</v>
      </c>
    </row>
    <row r="438" spans="1:19" s="77" customFormat="1" ht="31.5" x14ac:dyDescent="0.25">
      <c r="A438" s="267" t="s">
        <v>568</v>
      </c>
      <c r="B438" s="497" t="s">
        <v>76</v>
      </c>
      <c r="C438" s="496" t="s">
        <v>14</v>
      </c>
      <c r="D438" s="497" t="s">
        <v>28</v>
      </c>
      <c r="E438" s="285" t="s">
        <v>421</v>
      </c>
      <c r="F438" s="497" t="s">
        <v>9</v>
      </c>
      <c r="G438" s="283">
        <f t="shared" ref="G438:R438" si="203">G439+G441+G446+G456+G450+G460+G454</f>
        <v>0</v>
      </c>
      <c r="H438" s="304">
        <f t="shared" si="203"/>
        <v>22835.56</v>
      </c>
      <c r="I438" s="283">
        <f t="shared" si="203"/>
        <v>0.13500000000000001</v>
      </c>
      <c r="J438" s="283">
        <f t="shared" si="203"/>
        <v>4504.2924999999996</v>
      </c>
      <c r="K438" s="283">
        <f t="shared" si="203"/>
        <v>817.59999999999991</v>
      </c>
      <c r="L438" s="283">
        <f t="shared" si="203"/>
        <v>2136.4226199999998</v>
      </c>
      <c r="M438" s="568">
        <f t="shared" si="203"/>
        <v>772.54049999999995</v>
      </c>
      <c r="N438" s="568">
        <f t="shared" si="203"/>
        <v>1507.0594999999998</v>
      </c>
      <c r="O438" s="569">
        <f t="shared" si="203"/>
        <v>0</v>
      </c>
      <c r="P438" s="569">
        <f t="shared" si="203"/>
        <v>0</v>
      </c>
      <c r="Q438" s="569">
        <f t="shared" si="203"/>
        <v>0</v>
      </c>
      <c r="R438" s="569">
        <f t="shared" si="203"/>
        <v>0</v>
      </c>
      <c r="S438" s="132">
        <f t="shared" si="194"/>
        <v>32573.610119999998</v>
      </c>
    </row>
    <row r="439" spans="1:19" s="77" customFormat="1" ht="31.5" x14ac:dyDescent="0.25">
      <c r="A439" s="267" t="s">
        <v>29</v>
      </c>
      <c r="B439" s="497" t="s">
        <v>76</v>
      </c>
      <c r="C439" s="496" t="s">
        <v>14</v>
      </c>
      <c r="D439" s="497" t="s">
        <v>28</v>
      </c>
      <c r="E439" s="285" t="s">
        <v>428</v>
      </c>
      <c r="F439" s="497" t="s">
        <v>9</v>
      </c>
      <c r="G439" s="283">
        <f t="shared" ref="G439:R439" si="204">G440</f>
        <v>0</v>
      </c>
      <c r="H439" s="304">
        <f t="shared" si="204"/>
        <v>1069.04</v>
      </c>
      <c r="I439" s="283">
        <f t="shared" si="204"/>
        <v>0</v>
      </c>
      <c r="J439" s="283">
        <f t="shared" si="204"/>
        <v>0</v>
      </c>
      <c r="K439" s="283">
        <f t="shared" si="204"/>
        <v>55.8</v>
      </c>
      <c r="L439" s="283">
        <f t="shared" si="204"/>
        <v>0</v>
      </c>
      <c r="M439" s="568">
        <f t="shared" si="204"/>
        <v>0</v>
      </c>
      <c r="N439" s="568">
        <f t="shared" si="204"/>
        <v>0</v>
      </c>
      <c r="O439" s="569">
        <f t="shared" si="204"/>
        <v>0</v>
      </c>
      <c r="P439" s="569">
        <f t="shared" si="204"/>
        <v>0</v>
      </c>
      <c r="Q439" s="569">
        <f t="shared" si="204"/>
        <v>0</v>
      </c>
      <c r="R439" s="569">
        <f t="shared" si="204"/>
        <v>0</v>
      </c>
      <c r="S439" s="132">
        <f t="shared" si="194"/>
        <v>1124.8399999999999</v>
      </c>
    </row>
    <row r="440" spans="1:19" s="77" customFormat="1" ht="63" x14ac:dyDescent="0.25">
      <c r="A440" s="264" t="s">
        <v>115</v>
      </c>
      <c r="B440" s="380" t="s">
        <v>76</v>
      </c>
      <c r="C440" s="488" t="s">
        <v>14</v>
      </c>
      <c r="D440" s="380" t="s">
        <v>28</v>
      </c>
      <c r="E440" s="265" t="s">
        <v>428</v>
      </c>
      <c r="F440" s="380" t="s">
        <v>113</v>
      </c>
      <c r="G440" s="282"/>
      <c r="H440" s="303">
        <v>1069.04</v>
      </c>
      <c r="I440" s="265"/>
      <c r="J440" s="282"/>
      <c r="K440" s="419">
        <v>55.8</v>
      </c>
      <c r="L440" s="265"/>
      <c r="M440" s="570"/>
      <c r="N440" s="570"/>
      <c r="O440" s="571"/>
      <c r="P440" s="571"/>
      <c r="Q440" s="571"/>
      <c r="R440" s="571"/>
      <c r="S440" s="566">
        <f t="shared" si="194"/>
        <v>1124.8399999999999</v>
      </c>
    </row>
    <row r="441" spans="1:19" s="80" customFormat="1" x14ac:dyDescent="0.25">
      <c r="A441" s="267" t="s">
        <v>79</v>
      </c>
      <c r="B441" s="497" t="s">
        <v>76</v>
      </c>
      <c r="C441" s="496" t="s">
        <v>14</v>
      </c>
      <c r="D441" s="497" t="s">
        <v>28</v>
      </c>
      <c r="E441" s="285" t="s">
        <v>429</v>
      </c>
      <c r="F441" s="497" t="s">
        <v>9</v>
      </c>
      <c r="G441" s="283">
        <f t="shared" ref="G441:R441" si="205">G442+G443+G445+G444</f>
        <v>0</v>
      </c>
      <c r="H441" s="283">
        <f t="shared" si="205"/>
        <v>1412.3700000000001</v>
      </c>
      <c r="I441" s="283">
        <f t="shared" si="205"/>
        <v>0.13500000000000001</v>
      </c>
      <c r="J441" s="283">
        <f t="shared" si="205"/>
        <v>4504.2924999999996</v>
      </c>
      <c r="K441" s="283">
        <f t="shared" si="205"/>
        <v>0</v>
      </c>
      <c r="L441" s="283">
        <f>L442+L443+L445+L444</f>
        <v>1884.1886199999999</v>
      </c>
      <c r="M441" s="568">
        <f>M442+M443+M445+M444</f>
        <v>26.529999999999994</v>
      </c>
      <c r="N441" s="568">
        <f t="shared" si="205"/>
        <v>690.45949999999993</v>
      </c>
      <c r="O441" s="132">
        <f t="shared" si="205"/>
        <v>0</v>
      </c>
      <c r="P441" s="132">
        <f t="shared" si="205"/>
        <v>0</v>
      </c>
      <c r="Q441" s="132">
        <f t="shared" si="205"/>
        <v>0</v>
      </c>
      <c r="R441" s="132">
        <f t="shared" si="205"/>
        <v>0</v>
      </c>
      <c r="S441" s="132">
        <f t="shared" si="194"/>
        <v>8517.9756199999993</v>
      </c>
    </row>
    <row r="442" spans="1:19" s="77" customFormat="1" ht="62.45" hidden="1" x14ac:dyDescent="0.3">
      <c r="A442" s="264" t="s">
        <v>115</v>
      </c>
      <c r="B442" s="380" t="s">
        <v>76</v>
      </c>
      <c r="C442" s="488" t="s">
        <v>14</v>
      </c>
      <c r="D442" s="380" t="s">
        <v>28</v>
      </c>
      <c r="E442" s="265" t="s">
        <v>429</v>
      </c>
      <c r="F442" s="380" t="s">
        <v>113</v>
      </c>
      <c r="G442" s="282"/>
      <c r="H442" s="303"/>
      <c r="I442" s="265"/>
      <c r="J442" s="265">
        <f>10</f>
        <v>10</v>
      </c>
      <c r="K442" s="265"/>
      <c r="L442" s="265">
        <v>-10</v>
      </c>
      <c r="M442" s="570"/>
      <c r="N442" s="570"/>
      <c r="O442" s="571"/>
      <c r="P442" s="571"/>
      <c r="Q442" s="571"/>
      <c r="R442" s="571"/>
      <c r="S442" s="131">
        <f t="shared" si="194"/>
        <v>0</v>
      </c>
    </row>
    <row r="443" spans="1:19" s="77" customFormat="1" ht="31.5" x14ac:dyDescent="0.25">
      <c r="A443" s="264" t="s">
        <v>124</v>
      </c>
      <c r="B443" s="380" t="s">
        <v>76</v>
      </c>
      <c r="C443" s="488" t="s">
        <v>14</v>
      </c>
      <c r="D443" s="380" t="s">
        <v>28</v>
      </c>
      <c r="E443" s="265" t="s">
        <v>429</v>
      </c>
      <c r="F443" s="380" t="s">
        <v>117</v>
      </c>
      <c r="G443" s="282"/>
      <c r="H443" s="360">
        <f>718.09+0.5+142.88+459.5704+0.4296</f>
        <v>1321.47</v>
      </c>
      <c r="I443" s="393">
        <f>0.124+0.011</f>
        <v>0.13500000000000001</v>
      </c>
      <c r="J443" s="282">
        <f>75+0.0075</f>
        <v>75.007499999999993</v>
      </c>
      <c r="K443" s="265"/>
      <c r="L443" s="265">
        <f>0.15265+0.416+113.5+273.5+376.5-0.00005+0.002+460</f>
        <v>1224.0706</v>
      </c>
      <c r="M443" s="608">
        <f>0.04+0.01</f>
        <v>0.05</v>
      </c>
      <c r="N443" s="653">
        <f>-0.0005+637.877-0.017</f>
        <v>637.85949999999991</v>
      </c>
      <c r="O443" s="571"/>
      <c r="P443" s="571"/>
      <c r="Q443" s="571"/>
      <c r="R443" s="571"/>
      <c r="S443" s="566">
        <f t="shared" si="194"/>
        <v>3258.5926000000004</v>
      </c>
    </row>
    <row r="444" spans="1:19" s="77" customFormat="1" ht="13.5" hidden="1" customHeight="1" x14ac:dyDescent="0.3">
      <c r="A444" s="264" t="s">
        <v>125</v>
      </c>
      <c r="B444" s="380">
        <v>936</v>
      </c>
      <c r="C444" s="488" t="s">
        <v>14</v>
      </c>
      <c r="D444" s="380">
        <v>13</v>
      </c>
      <c r="E444" s="265" t="s">
        <v>429</v>
      </c>
      <c r="F444" s="380" t="s">
        <v>118</v>
      </c>
      <c r="G444" s="282"/>
      <c r="H444" s="360"/>
      <c r="I444" s="393"/>
      <c r="J444" s="303"/>
      <c r="K444" s="265"/>
      <c r="L444" s="265">
        <v>10</v>
      </c>
      <c r="M444" s="570">
        <v>-10</v>
      </c>
      <c r="N444" s="570"/>
      <c r="O444" s="571"/>
      <c r="P444" s="571"/>
      <c r="Q444" s="571"/>
      <c r="R444" s="571"/>
      <c r="S444" s="566">
        <f t="shared" si="194"/>
        <v>0</v>
      </c>
    </row>
    <row r="445" spans="1:19" s="77" customFormat="1" x14ac:dyDescent="0.25">
      <c r="A445" s="264" t="s">
        <v>116</v>
      </c>
      <c r="B445" s="380" t="s">
        <v>76</v>
      </c>
      <c r="C445" s="488" t="s">
        <v>14</v>
      </c>
      <c r="D445" s="380" t="s">
        <v>28</v>
      </c>
      <c r="E445" s="265" t="s">
        <v>429</v>
      </c>
      <c r="F445" s="380">
        <v>800</v>
      </c>
      <c r="G445" s="282"/>
      <c r="H445" s="303">
        <v>90.9</v>
      </c>
      <c r="I445" s="265"/>
      <c r="J445" s="418">
        <f>50+80+4289.285</f>
        <v>4419.2849999999999</v>
      </c>
      <c r="K445" s="265"/>
      <c r="L445" s="265">
        <f>20+15+35+590.11802</f>
        <v>660.11802</v>
      </c>
      <c r="M445" s="607">
        <v>36.479999999999997</v>
      </c>
      <c r="N445" s="570">
        <f>52.6</f>
        <v>52.6</v>
      </c>
      <c r="O445" s="571"/>
      <c r="P445" s="571"/>
      <c r="Q445" s="571"/>
      <c r="R445" s="571"/>
      <c r="S445" s="566">
        <f t="shared" si="194"/>
        <v>5259.3830199999993</v>
      </c>
    </row>
    <row r="446" spans="1:19" s="80" customFormat="1" x14ac:dyDescent="0.25">
      <c r="A446" s="267" t="s">
        <v>129</v>
      </c>
      <c r="B446" s="497" t="s">
        <v>76</v>
      </c>
      <c r="C446" s="496" t="s">
        <v>14</v>
      </c>
      <c r="D446" s="497" t="s">
        <v>28</v>
      </c>
      <c r="E446" s="285" t="s">
        <v>430</v>
      </c>
      <c r="F446" s="497" t="s">
        <v>9</v>
      </c>
      <c r="G446" s="283">
        <f t="shared" ref="G446:R446" si="206">G447+G448+G449</f>
        <v>0</v>
      </c>
      <c r="H446" s="304">
        <f t="shared" si="206"/>
        <v>10387.85</v>
      </c>
      <c r="I446" s="283">
        <f t="shared" si="206"/>
        <v>0</v>
      </c>
      <c r="J446" s="283">
        <f t="shared" si="206"/>
        <v>0</v>
      </c>
      <c r="K446" s="283">
        <f t="shared" si="206"/>
        <v>223.4</v>
      </c>
      <c r="L446" s="283">
        <f t="shared" si="206"/>
        <v>252.23400000000001</v>
      </c>
      <c r="M446" s="616">
        <f t="shared" si="206"/>
        <v>746.01049999999998</v>
      </c>
      <c r="N446" s="568">
        <f t="shared" si="206"/>
        <v>816.6</v>
      </c>
      <c r="O446" s="569">
        <f t="shared" si="206"/>
        <v>0</v>
      </c>
      <c r="P446" s="569">
        <f t="shared" si="206"/>
        <v>0</v>
      </c>
      <c r="Q446" s="569">
        <f t="shared" si="206"/>
        <v>0</v>
      </c>
      <c r="R446" s="569">
        <f t="shared" si="206"/>
        <v>0</v>
      </c>
      <c r="S446" s="132">
        <f t="shared" si="194"/>
        <v>12426.094500000001</v>
      </c>
    </row>
    <row r="447" spans="1:19" s="77" customFormat="1" ht="63" x14ac:dyDescent="0.25">
      <c r="A447" s="264" t="s">
        <v>115</v>
      </c>
      <c r="B447" s="380" t="s">
        <v>76</v>
      </c>
      <c r="C447" s="488" t="s">
        <v>14</v>
      </c>
      <c r="D447" s="380" t="s">
        <v>28</v>
      </c>
      <c r="E447" s="265" t="s">
        <v>430</v>
      </c>
      <c r="F447" s="380" t="s">
        <v>113</v>
      </c>
      <c r="G447" s="282"/>
      <c r="H447" s="303">
        <v>4352.5</v>
      </c>
      <c r="I447" s="265"/>
      <c r="J447" s="265"/>
      <c r="K447" s="419">
        <v>223.4</v>
      </c>
      <c r="L447" s="282"/>
      <c r="M447" s="570"/>
      <c r="N447" s="570"/>
      <c r="O447" s="571"/>
      <c r="P447" s="571"/>
      <c r="Q447" s="571"/>
      <c r="R447" s="571"/>
      <c r="S447" s="566">
        <f t="shared" si="194"/>
        <v>4575.8999999999996</v>
      </c>
    </row>
    <row r="448" spans="1:19" s="80" customFormat="1" ht="31.5" x14ac:dyDescent="0.25">
      <c r="A448" s="264" t="s">
        <v>124</v>
      </c>
      <c r="B448" s="380" t="s">
        <v>76</v>
      </c>
      <c r="C448" s="488" t="s">
        <v>14</v>
      </c>
      <c r="D448" s="380" t="s">
        <v>28</v>
      </c>
      <c r="E448" s="265" t="s">
        <v>430</v>
      </c>
      <c r="F448" s="380" t="s">
        <v>117</v>
      </c>
      <c r="G448" s="282"/>
      <c r="H448" s="361">
        <f>6243.65-480</f>
        <v>5763.65</v>
      </c>
      <c r="I448" s="265"/>
      <c r="J448" s="282"/>
      <c r="K448" s="265"/>
      <c r="L448" s="282">
        <f>237</f>
        <v>237</v>
      </c>
      <c r="M448" s="609">
        <f>500+120+126+0.0105</f>
        <v>746.01049999999998</v>
      </c>
      <c r="N448" s="570">
        <f>933-116.4</f>
        <v>816.6</v>
      </c>
      <c r="O448" s="571"/>
      <c r="P448" s="571"/>
      <c r="Q448" s="571"/>
      <c r="R448" s="571"/>
      <c r="S448" s="566">
        <f t="shared" si="194"/>
        <v>7563.2605000000003</v>
      </c>
    </row>
    <row r="449" spans="1:19" s="77" customFormat="1" x14ac:dyDescent="0.25">
      <c r="A449" s="264" t="s">
        <v>116</v>
      </c>
      <c r="B449" s="380" t="s">
        <v>76</v>
      </c>
      <c r="C449" s="488" t="s">
        <v>14</v>
      </c>
      <c r="D449" s="380" t="s">
        <v>28</v>
      </c>
      <c r="E449" s="265" t="s">
        <v>430</v>
      </c>
      <c r="F449" s="380" t="s">
        <v>114</v>
      </c>
      <c r="G449" s="282"/>
      <c r="H449" s="303">
        <v>271.7</v>
      </c>
      <c r="I449" s="265"/>
      <c r="J449" s="265"/>
      <c r="K449" s="265"/>
      <c r="L449" s="265">
        <v>15.234</v>
      </c>
      <c r="M449" s="570"/>
      <c r="N449" s="570"/>
      <c r="O449" s="571"/>
      <c r="P449" s="571"/>
      <c r="Q449" s="571"/>
      <c r="R449" s="571"/>
      <c r="S449" s="566">
        <f t="shared" si="194"/>
        <v>286.93399999999997</v>
      </c>
    </row>
    <row r="450" spans="1:19" s="77" customFormat="1" ht="15.6" hidden="1" x14ac:dyDescent="0.3">
      <c r="A450" s="267" t="s">
        <v>129</v>
      </c>
      <c r="B450" s="497" t="s">
        <v>76</v>
      </c>
      <c r="C450" s="496" t="s">
        <v>14</v>
      </c>
      <c r="D450" s="497" t="s">
        <v>28</v>
      </c>
      <c r="E450" s="285" t="s">
        <v>523</v>
      </c>
      <c r="F450" s="497" t="s">
        <v>9</v>
      </c>
      <c r="G450" s="283">
        <f t="shared" ref="G450:R450" si="207">G452+G453+G451</f>
        <v>0</v>
      </c>
      <c r="H450" s="304">
        <f t="shared" si="207"/>
        <v>0</v>
      </c>
      <c r="I450" s="283">
        <f t="shared" si="207"/>
        <v>0</v>
      </c>
      <c r="J450" s="283">
        <f t="shared" si="207"/>
        <v>0</v>
      </c>
      <c r="K450" s="283">
        <f t="shared" si="207"/>
        <v>0</v>
      </c>
      <c r="L450" s="283">
        <f t="shared" si="207"/>
        <v>0</v>
      </c>
      <c r="M450" s="568">
        <f t="shared" si="207"/>
        <v>0</v>
      </c>
      <c r="N450" s="568">
        <f t="shared" si="207"/>
        <v>0</v>
      </c>
      <c r="O450" s="569">
        <f t="shared" si="207"/>
        <v>0</v>
      </c>
      <c r="P450" s="569">
        <f t="shared" si="207"/>
        <v>0</v>
      </c>
      <c r="Q450" s="569">
        <f t="shared" si="207"/>
        <v>0</v>
      </c>
      <c r="R450" s="569">
        <f t="shared" si="207"/>
        <v>0</v>
      </c>
      <c r="S450" s="132">
        <f t="shared" si="194"/>
        <v>0</v>
      </c>
    </row>
    <row r="451" spans="1:19" s="77" customFormat="1" ht="62.45" hidden="1" x14ac:dyDescent="0.3">
      <c r="A451" s="264" t="s">
        <v>115</v>
      </c>
      <c r="B451" s="380" t="s">
        <v>76</v>
      </c>
      <c r="C451" s="488" t="s">
        <v>14</v>
      </c>
      <c r="D451" s="380" t="s">
        <v>28</v>
      </c>
      <c r="E451" s="265" t="s">
        <v>523</v>
      </c>
      <c r="F451" s="380" t="s">
        <v>113</v>
      </c>
      <c r="G451" s="282"/>
      <c r="H451" s="303"/>
      <c r="I451" s="265"/>
      <c r="J451" s="265"/>
      <c r="K451" s="265"/>
      <c r="L451" s="265"/>
      <c r="M451" s="570"/>
      <c r="N451" s="570"/>
      <c r="O451" s="571"/>
      <c r="P451" s="571"/>
      <c r="Q451" s="571"/>
      <c r="R451" s="571"/>
      <c r="S451" s="131">
        <f t="shared" si="194"/>
        <v>0</v>
      </c>
    </row>
    <row r="452" spans="1:19" s="77" customFormat="1" ht="31.15" hidden="1" x14ac:dyDescent="0.3">
      <c r="A452" s="264" t="s">
        <v>124</v>
      </c>
      <c r="B452" s="380" t="s">
        <v>76</v>
      </c>
      <c r="C452" s="488" t="s">
        <v>14</v>
      </c>
      <c r="D452" s="380" t="s">
        <v>28</v>
      </c>
      <c r="E452" s="265" t="s">
        <v>523</v>
      </c>
      <c r="F452" s="380" t="s">
        <v>117</v>
      </c>
      <c r="G452" s="282"/>
      <c r="H452" s="303"/>
      <c r="I452" s="265"/>
      <c r="J452" s="265"/>
      <c r="K452" s="265"/>
      <c r="L452" s="265"/>
      <c r="M452" s="570"/>
      <c r="N452" s="570"/>
      <c r="O452" s="571"/>
      <c r="P452" s="571"/>
      <c r="Q452" s="571"/>
      <c r="R452" s="571"/>
      <c r="S452" s="131">
        <f t="shared" si="194"/>
        <v>0</v>
      </c>
    </row>
    <row r="453" spans="1:19" s="77" customFormat="1" ht="15.6" hidden="1" x14ac:dyDescent="0.3">
      <c r="A453" s="264" t="s">
        <v>116</v>
      </c>
      <c r="B453" s="380" t="s">
        <v>76</v>
      </c>
      <c r="C453" s="488" t="s">
        <v>14</v>
      </c>
      <c r="D453" s="380" t="s">
        <v>28</v>
      </c>
      <c r="E453" s="265" t="s">
        <v>523</v>
      </c>
      <c r="F453" s="380" t="s">
        <v>114</v>
      </c>
      <c r="G453" s="282"/>
      <c r="H453" s="303"/>
      <c r="I453" s="265"/>
      <c r="J453" s="265"/>
      <c r="K453" s="265"/>
      <c r="L453" s="265"/>
      <c r="M453" s="570"/>
      <c r="N453" s="570"/>
      <c r="O453" s="571"/>
      <c r="P453" s="571"/>
      <c r="Q453" s="571"/>
      <c r="R453" s="571"/>
      <c r="S453" s="131">
        <f t="shared" si="194"/>
        <v>0</v>
      </c>
    </row>
    <row r="454" spans="1:19" s="80" customFormat="1" x14ac:dyDescent="0.25">
      <c r="A454" s="267" t="s">
        <v>682</v>
      </c>
      <c r="B454" s="497" t="s">
        <v>76</v>
      </c>
      <c r="C454" s="496" t="s">
        <v>14</v>
      </c>
      <c r="D454" s="497" t="s">
        <v>28</v>
      </c>
      <c r="E454" s="285" t="s">
        <v>681</v>
      </c>
      <c r="F454" s="497" t="s">
        <v>9</v>
      </c>
      <c r="G454" s="283">
        <f t="shared" ref="G454:R454" si="208">G455</f>
        <v>0</v>
      </c>
      <c r="H454" s="304">
        <f t="shared" si="208"/>
        <v>8058.3</v>
      </c>
      <c r="I454" s="283">
        <f t="shared" si="208"/>
        <v>0</v>
      </c>
      <c r="J454" s="283">
        <f t="shared" si="208"/>
        <v>0</v>
      </c>
      <c r="K454" s="283">
        <f t="shared" si="208"/>
        <v>420.4</v>
      </c>
      <c r="L454" s="283">
        <f t="shared" si="208"/>
        <v>0</v>
      </c>
      <c r="M454" s="568">
        <f t="shared" si="208"/>
        <v>0</v>
      </c>
      <c r="N454" s="568">
        <f t="shared" si="208"/>
        <v>0</v>
      </c>
      <c r="O454" s="569">
        <f t="shared" si="208"/>
        <v>0</v>
      </c>
      <c r="P454" s="569">
        <f t="shared" si="208"/>
        <v>0</v>
      </c>
      <c r="Q454" s="569">
        <f t="shared" si="208"/>
        <v>0</v>
      </c>
      <c r="R454" s="569">
        <f t="shared" si="208"/>
        <v>0</v>
      </c>
      <c r="S454" s="132">
        <f t="shared" si="194"/>
        <v>8478.7000000000007</v>
      </c>
    </row>
    <row r="455" spans="1:19" s="77" customFormat="1" ht="63" x14ac:dyDescent="0.25">
      <c r="A455" s="264" t="s">
        <v>115</v>
      </c>
      <c r="B455" s="380" t="s">
        <v>76</v>
      </c>
      <c r="C455" s="488" t="s">
        <v>14</v>
      </c>
      <c r="D455" s="380" t="s">
        <v>28</v>
      </c>
      <c r="E455" s="265" t="s">
        <v>681</v>
      </c>
      <c r="F455" s="380" t="s">
        <v>113</v>
      </c>
      <c r="G455" s="282"/>
      <c r="H455" s="303">
        <v>8058.3</v>
      </c>
      <c r="I455" s="265"/>
      <c r="J455" s="265"/>
      <c r="K455" s="419">
        <v>420.4</v>
      </c>
      <c r="L455" s="282"/>
      <c r="M455" s="570"/>
      <c r="N455" s="570"/>
      <c r="O455" s="571"/>
      <c r="P455" s="571"/>
      <c r="Q455" s="571"/>
      <c r="R455" s="571"/>
      <c r="S455" s="566">
        <f t="shared" si="194"/>
        <v>8478.7000000000007</v>
      </c>
    </row>
    <row r="456" spans="1:19" s="77" customFormat="1" x14ac:dyDescent="0.25">
      <c r="A456" s="267" t="s">
        <v>354</v>
      </c>
      <c r="B456" s="497" t="s">
        <v>76</v>
      </c>
      <c r="C456" s="496" t="s">
        <v>14</v>
      </c>
      <c r="D456" s="497" t="s">
        <v>28</v>
      </c>
      <c r="E456" s="285" t="s">
        <v>431</v>
      </c>
      <c r="F456" s="497" t="s">
        <v>9</v>
      </c>
      <c r="G456" s="283">
        <f t="shared" ref="G456:R456" si="209">G457+G458+G459</f>
        <v>0</v>
      </c>
      <c r="H456" s="304">
        <f t="shared" si="209"/>
        <v>1908</v>
      </c>
      <c r="I456" s="283">
        <f t="shared" si="209"/>
        <v>0</v>
      </c>
      <c r="J456" s="283">
        <f t="shared" si="209"/>
        <v>0</v>
      </c>
      <c r="K456" s="283">
        <f t="shared" si="209"/>
        <v>118</v>
      </c>
      <c r="L456" s="283">
        <f t="shared" si="209"/>
        <v>0</v>
      </c>
      <c r="M456" s="568">
        <f t="shared" si="209"/>
        <v>0</v>
      </c>
      <c r="N456" s="568">
        <f t="shared" si="209"/>
        <v>0</v>
      </c>
      <c r="O456" s="569">
        <f t="shared" si="209"/>
        <v>0</v>
      </c>
      <c r="P456" s="569">
        <f t="shared" si="209"/>
        <v>0</v>
      </c>
      <c r="Q456" s="569">
        <f t="shared" si="209"/>
        <v>0</v>
      </c>
      <c r="R456" s="569">
        <f t="shared" si="209"/>
        <v>0</v>
      </c>
      <c r="S456" s="132">
        <f t="shared" si="194"/>
        <v>2026</v>
      </c>
    </row>
    <row r="457" spans="1:19" s="77" customFormat="1" ht="63" x14ac:dyDescent="0.25">
      <c r="A457" s="264" t="s">
        <v>115</v>
      </c>
      <c r="B457" s="380" t="s">
        <v>76</v>
      </c>
      <c r="C457" s="488" t="s">
        <v>14</v>
      </c>
      <c r="D457" s="380" t="s">
        <v>28</v>
      </c>
      <c r="E457" s="265" t="s">
        <v>431</v>
      </c>
      <c r="F457" s="380" t="s">
        <v>113</v>
      </c>
      <c r="G457" s="282"/>
      <c r="H457" s="303">
        <v>1506.1</v>
      </c>
      <c r="I457" s="265"/>
      <c r="J457" s="265"/>
      <c r="K457" s="419">
        <v>118</v>
      </c>
      <c r="L457" s="265"/>
      <c r="M457" s="570"/>
      <c r="N457" s="570"/>
      <c r="O457" s="571"/>
      <c r="P457" s="571"/>
      <c r="Q457" s="571"/>
      <c r="R457" s="571"/>
      <c r="S457" s="566">
        <f t="shared" si="194"/>
        <v>1624.1</v>
      </c>
    </row>
    <row r="458" spans="1:19" s="77" customFormat="1" ht="31.5" x14ac:dyDescent="0.25">
      <c r="A458" s="264" t="s">
        <v>124</v>
      </c>
      <c r="B458" s="380" t="s">
        <v>76</v>
      </c>
      <c r="C458" s="488" t="s">
        <v>14</v>
      </c>
      <c r="D458" s="380" t="s">
        <v>28</v>
      </c>
      <c r="E458" s="265" t="s">
        <v>431</v>
      </c>
      <c r="F458" s="380" t="s">
        <v>117</v>
      </c>
      <c r="G458" s="282"/>
      <c r="H458" s="303">
        <v>395.4</v>
      </c>
      <c r="I458" s="265"/>
      <c r="J458" s="265"/>
      <c r="K458" s="265"/>
      <c r="L458" s="265"/>
      <c r="M458" s="570"/>
      <c r="N458" s="570"/>
      <c r="O458" s="571"/>
      <c r="P458" s="571"/>
      <c r="Q458" s="571"/>
      <c r="R458" s="571"/>
      <c r="S458" s="566">
        <f t="shared" si="194"/>
        <v>395.4</v>
      </c>
    </row>
    <row r="459" spans="1:19" s="80" customFormat="1" x14ac:dyDescent="0.25">
      <c r="A459" s="264" t="s">
        <v>116</v>
      </c>
      <c r="B459" s="380" t="s">
        <v>76</v>
      </c>
      <c r="C459" s="488" t="s">
        <v>14</v>
      </c>
      <c r="D459" s="380" t="s">
        <v>28</v>
      </c>
      <c r="E459" s="265" t="s">
        <v>431</v>
      </c>
      <c r="F459" s="380" t="s">
        <v>114</v>
      </c>
      <c r="G459" s="282"/>
      <c r="H459" s="303">
        <v>6.5</v>
      </c>
      <c r="I459" s="265"/>
      <c r="J459" s="265"/>
      <c r="K459" s="265"/>
      <c r="L459" s="265"/>
      <c r="M459" s="570"/>
      <c r="N459" s="570"/>
      <c r="O459" s="571"/>
      <c r="P459" s="571"/>
      <c r="Q459" s="571"/>
      <c r="R459" s="571"/>
      <c r="S459" s="566">
        <f t="shared" si="194"/>
        <v>6.5</v>
      </c>
    </row>
    <row r="460" spans="1:19" s="80" customFormat="1" ht="15.6" hidden="1" x14ac:dyDescent="0.3">
      <c r="A460" s="267" t="s">
        <v>354</v>
      </c>
      <c r="B460" s="497" t="s">
        <v>76</v>
      </c>
      <c r="C460" s="496" t="s">
        <v>14</v>
      </c>
      <c r="D460" s="497" t="s">
        <v>28</v>
      </c>
      <c r="E460" s="285" t="s">
        <v>524</v>
      </c>
      <c r="F460" s="497" t="s">
        <v>9</v>
      </c>
      <c r="G460" s="283">
        <f t="shared" ref="G460:R460" si="210">G461</f>
        <v>0</v>
      </c>
      <c r="H460" s="304">
        <f t="shared" si="210"/>
        <v>0</v>
      </c>
      <c r="I460" s="283">
        <f t="shared" si="210"/>
        <v>0</v>
      </c>
      <c r="J460" s="283">
        <f t="shared" si="210"/>
        <v>0</v>
      </c>
      <c r="K460" s="283">
        <f t="shared" si="210"/>
        <v>0</v>
      </c>
      <c r="L460" s="283">
        <f t="shared" si="210"/>
        <v>0</v>
      </c>
      <c r="M460" s="568">
        <f t="shared" si="210"/>
        <v>0</v>
      </c>
      <c r="N460" s="568">
        <f t="shared" si="210"/>
        <v>0</v>
      </c>
      <c r="O460" s="569">
        <f t="shared" si="210"/>
        <v>0</v>
      </c>
      <c r="P460" s="569">
        <f t="shared" si="210"/>
        <v>0</v>
      </c>
      <c r="Q460" s="569">
        <f t="shared" si="210"/>
        <v>0</v>
      </c>
      <c r="R460" s="569">
        <f t="shared" si="210"/>
        <v>0</v>
      </c>
      <c r="S460" s="132">
        <f t="shared" si="194"/>
        <v>0</v>
      </c>
    </row>
    <row r="461" spans="1:19" s="77" customFormat="1" ht="15.6" hidden="1" x14ac:dyDescent="0.3">
      <c r="A461" s="264" t="s">
        <v>116</v>
      </c>
      <c r="B461" s="380" t="s">
        <v>76</v>
      </c>
      <c r="C461" s="488" t="s">
        <v>14</v>
      </c>
      <c r="D461" s="380" t="s">
        <v>28</v>
      </c>
      <c r="E461" s="265" t="s">
        <v>524</v>
      </c>
      <c r="F461" s="380" t="s">
        <v>114</v>
      </c>
      <c r="G461" s="282"/>
      <c r="H461" s="303"/>
      <c r="I461" s="265"/>
      <c r="J461" s="265"/>
      <c r="K461" s="265"/>
      <c r="L461" s="265"/>
      <c r="M461" s="570"/>
      <c r="N461" s="570"/>
      <c r="O461" s="571"/>
      <c r="P461" s="571"/>
      <c r="Q461" s="571"/>
      <c r="R461" s="571"/>
      <c r="S461" s="131">
        <f t="shared" si="194"/>
        <v>0</v>
      </c>
    </row>
    <row r="462" spans="1:19" s="77" customFormat="1" ht="31.15" hidden="1" x14ac:dyDescent="0.3">
      <c r="A462" s="267" t="s">
        <v>132</v>
      </c>
      <c r="B462" s="497" t="s">
        <v>76</v>
      </c>
      <c r="C462" s="496" t="s">
        <v>14</v>
      </c>
      <c r="D462" s="497" t="s">
        <v>28</v>
      </c>
      <c r="E462" s="285" t="s">
        <v>432</v>
      </c>
      <c r="F462" s="497" t="s">
        <v>9</v>
      </c>
      <c r="G462" s="283">
        <f t="shared" ref="G462:R462" si="211">G463</f>
        <v>0</v>
      </c>
      <c r="H462" s="304">
        <f t="shared" si="211"/>
        <v>0</v>
      </c>
      <c r="I462" s="283">
        <f t="shared" si="211"/>
        <v>0</v>
      </c>
      <c r="J462" s="283">
        <f t="shared" si="211"/>
        <v>0</v>
      </c>
      <c r="K462" s="283">
        <f t="shared" si="211"/>
        <v>0</v>
      </c>
      <c r="L462" s="283">
        <f t="shared" si="211"/>
        <v>0</v>
      </c>
      <c r="M462" s="568">
        <f t="shared" si="211"/>
        <v>0</v>
      </c>
      <c r="N462" s="568">
        <f t="shared" si="211"/>
        <v>0</v>
      </c>
      <c r="O462" s="569">
        <f t="shared" si="211"/>
        <v>0</v>
      </c>
      <c r="P462" s="569">
        <f t="shared" si="211"/>
        <v>0</v>
      </c>
      <c r="Q462" s="569">
        <f t="shared" si="211"/>
        <v>0</v>
      </c>
      <c r="R462" s="569">
        <f t="shared" si="211"/>
        <v>0</v>
      </c>
      <c r="S462" s="132">
        <f t="shared" si="194"/>
        <v>0</v>
      </c>
    </row>
    <row r="463" spans="1:19" s="77" customFormat="1" ht="31.15" hidden="1" x14ac:dyDescent="0.3">
      <c r="A463" s="264" t="s">
        <v>124</v>
      </c>
      <c r="B463" s="380" t="s">
        <v>76</v>
      </c>
      <c r="C463" s="488" t="s">
        <v>14</v>
      </c>
      <c r="D463" s="380" t="s">
        <v>28</v>
      </c>
      <c r="E463" s="265" t="s">
        <v>432</v>
      </c>
      <c r="F463" s="380" t="s">
        <v>117</v>
      </c>
      <c r="G463" s="282"/>
      <c r="H463" s="303"/>
      <c r="I463" s="265"/>
      <c r="J463" s="265"/>
      <c r="K463" s="265"/>
      <c r="L463" s="265"/>
      <c r="M463" s="570"/>
      <c r="N463" s="570"/>
      <c r="O463" s="571"/>
      <c r="P463" s="571"/>
      <c r="Q463" s="571"/>
      <c r="R463" s="571"/>
      <c r="S463" s="131">
        <f t="shared" si="194"/>
        <v>0</v>
      </c>
    </row>
    <row r="464" spans="1:19" s="77" customFormat="1" ht="15.6" hidden="1" x14ac:dyDescent="0.3">
      <c r="A464" s="264" t="s">
        <v>692</v>
      </c>
      <c r="B464" s="380" t="s">
        <v>76</v>
      </c>
      <c r="C464" s="488" t="s">
        <v>14</v>
      </c>
      <c r="D464" s="380" t="s">
        <v>28</v>
      </c>
      <c r="E464" s="265" t="s">
        <v>381</v>
      </c>
      <c r="F464" s="380" t="s">
        <v>9</v>
      </c>
      <c r="G464" s="282">
        <f t="shared" ref="G464:R465" si="212">G465</f>
        <v>0</v>
      </c>
      <c r="H464" s="303">
        <f t="shared" si="212"/>
        <v>0</v>
      </c>
      <c r="I464" s="282">
        <f t="shared" si="212"/>
        <v>0</v>
      </c>
      <c r="J464" s="282">
        <f t="shared" si="212"/>
        <v>0</v>
      </c>
      <c r="K464" s="282">
        <f t="shared" si="212"/>
        <v>0</v>
      </c>
      <c r="L464" s="282">
        <f t="shared" si="212"/>
        <v>0</v>
      </c>
      <c r="M464" s="566">
        <f t="shared" si="212"/>
        <v>0</v>
      </c>
      <c r="N464" s="566">
        <f t="shared" si="212"/>
        <v>0</v>
      </c>
      <c r="O464" s="567">
        <f t="shared" si="212"/>
        <v>0</v>
      </c>
      <c r="P464" s="567">
        <f t="shared" si="212"/>
        <v>0</v>
      </c>
      <c r="Q464" s="567">
        <f t="shared" si="212"/>
        <v>0</v>
      </c>
      <c r="R464" s="567">
        <f t="shared" si="212"/>
        <v>0</v>
      </c>
      <c r="S464" s="131">
        <f t="shared" si="194"/>
        <v>0</v>
      </c>
    </row>
    <row r="465" spans="1:19" s="80" customFormat="1" ht="15.6" hidden="1" x14ac:dyDescent="0.3">
      <c r="A465" s="267" t="s">
        <v>847</v>
      </c>
      <c r="B465" s="497" t="s">
        <v>76</v>
      </c>
      <c r="C465" s="496" t="s">
        <v>14</v>
      </c>
      <c r="D465" s="497" t="s">
        <v>28</v>
      </c>
      <c r="E465" s="285" t="s">
        <v>846</v>
      </c>
      <c r="F465" s="497" t="s">
        <v>9</v>
      </c>
      <c r="G465" s="283">
        <f t="shared" si="212"/>
        <v>0</v>
      </c>
      <c r="H465" s="304">
        <f t="shared" si="212"/>
        <v>0</v>
      </c>
      <c r="I465" s="283">
        <f t="shared" si="212"/>
        <v>0</v>
      </c>
      <c r="J465" s="283">
        <f t="shared" si="212"/>
        <v>0</v>
      </c>
      <c r="K465" s="283">
        <f t="shared" si="212"/>
        <v>0</v>
      </c>
      <c r="L465" s="283">
        <f t="shared" si="212"/>
        <v>0</v>
      </c>
      <c r="M465" s="568">
        <f t="shared" si="212"/>
        <v>0</v>
      </c>
      <c r="N465" s="568">
        <f t="shared" si="212"/>
        <v>0</v>
      </c>
      <c r="O465" s="569">
        <f t="shared" si="212"/>
        <v>0</v>
      </c>
      <c r="P465" s="569">
        <f t="shared" si="212"/>
        <v>0</v>
      </c>
      <c r="Q465" s="569">
        <f t="shared" si="212"/>
        <v>0</v>
      </c>
      <c r="R465" s="569">
        <f t="shared" si="212"/>
        <v>0</v>
      </c>
      <c r="S465" s="132">
        <f t="shared" si="194"/>
        <v>0</v>
      </c>
    </row>
    <row r="466" spans="1:19" s="80" customFormat="1" ht="31.15" hidden="1" x14ac:dyDescent="0.3">
      <c r="A466" s="264" t="s">
        <v>124</v>
      </c>
      <c r="B466" s="380" t="s">
        <v>76</v>
      </c>
      <c r="C466" s="488" t="s">
        <v>14</v>
      </c>
      <c r="D466" s="380" t="s">
        <v>28</v>
      </c>
      <c r="E466" s="265" t="s">
        <v>846</v>
      </c>
      <c r="F466" s="380" t="s">
        <v>117</v>
      </c>
      <c r="G466" s="282"/>
      <c r="H466" s="303"/>
      <c r="I466" s="265"/>
      <c r="J466" s="265"/>
      <c r="K466" s="265"/>
      <c r="L466" s="265"/>
      <c r="M466" s="570"/>
      <c r="N466" s="570"/>
      <c r="O466" s="571"/>
      <c r="P466" s="571"/>
      <c r="Q466" s="571"/>
      <c r="R466" s="571"/>
      <c r="S466" s="131">
        <f t="shared" si="194"/>
        <v>0</v>
      </c>
    </row>
    <row r="467" spans="1:19" s="80" customFormat="1" x14ac:dyDescent="0.25">
      <c r="A467" s="267" t="s">
        <v>15</v>
      </c>
      <c r="B467" s="497" t="s">
        <v>76</v>
      </c>
      <c r="C467" s="496" t="s">
        <v>14</v>
      </c>
      <c r="D467" s="497" t="s">
        <v>28</v>
      </c>
      <c r="E467" s="285" t="s">
        <v>433</v>
      </c>
      <c r="F467" s="497" t="s">
        <v>9</v>
      </c>
      <c r="G467" s="283">
        <f t="shared" ref="G467:R467" si="213">G468+G470</f>
        <v>0</v>
      </c>
      <c r="H467" s="304">
        <f t="shared" si="213"/>
        <v>7.5</v>
      </c>
      <c r="I467" s="283">
        <f t="shared" si="213"/>
        <v>0</v>
      </c>
      <c r="J467" s="283">
        <f t="shared" si="213"/>
        <v>21</v>
      </c>
      <c r="K467" s="283">
        <f t="shared" si="213"/>
        <v>0</v>
      </c>
      <c r="L467" s="283">
        <f t="shared" si="213"/>
        <v>0</v>
      </c>
      <c r="M467" s="568">
        <f t="shared" si="213"/>
        <v>30</v>
      </c>
      <c r="N467" s="568">
        <f t="shared" si="213"/>
        <v>0</v>
      </c>
      <c r="O467" s="569">
        <f t="shared" si="213"/>
        <v>0</v>
      </c>
      <c r="P467" s="569">
        <f t="shared" si="213"/>
        <v>0</v>
      </c>
      <c r="Q467" s="569">
        <f t="shared" si="213"/>
        <v>0</v>
      </c>
      <c r="R467" s="569">
        <f t="shared" si="213"/>
        <v>0</v>
      </c>
      <c r="S467" s="132">
        <f t="shared" si="194"/>
        <v>58.5</v>
      </c>
    </row>
    <row r="468" spans="1:19" s="80" customFormat="1" ht="47.25" x14ac:dyDescent="0.25">
      <c r="A468" s="267" t="s">
        <v>78</v>
      </c>
      <c r="B468" s="497" t="s">
        <v>76</v>
      </c>
      <c r="C468" s="496" t="s">
        <v>14</v>
      </c>
      <c r="D468" s="497" t="s">
        <v>28</v>
      </c>
      <c r="E468" s="285" t="s">
        <v>434</v>
      </c>
      <c r="F468" s="497" t="s">
        <v>9</v>
      </c>
      <c r="G468" s="283">
        <f t="shared" ref="G468:R468" si="214">G469</f>
        <v>0</v>
      </c>
      <c r="H468" s="304">
        <f t="shared" si="214"/>
        <v>5</v>
      </c>
      <c r="I468" s="283">
        <f t="shared" si="214"/>
        <v>0</v>
      </c>
      <c r="J468" s="283">
        <f t="shared" si="214"/>
        <v>16</v>
      </c>
      <c r="K468" s="283">
        <f t="shared" si="214"/>
        <v>0</v>
      </c>
      <c r="L468" s="283">
        <f t="shared" si="214"/>
        <v>0</v>
      </c>
      <c r="M468" s="568">
        <f t="shared" si="214"/>
        <v>30</v>
      </c>
      <c r="N468" s="568">
        <f t="shared" si="214"/>
        <v>0</v>
      </c>
      <c r="O468" s="569">
        <f t="shared" si="214"/>
        <v>0</v>
      </c>
      <c r="P468" s="569">
        <f t="shared" si="214"/>
        <v>0</v>
      </c>
      <c r="Q468" s="569">
        <f t="shared" si="214"/>
        <v>0</v>
      </c>
      <c r="R468" s="569">
        <f t="shared" si="214"/>
        <v>0</v>
      </c>
      <c r="S468" s="132">
        <f t="shared" si="194"/>
        <v>51</v>
      </c>
    </row>
    <row r="469" spans="1:19" s="77" customFormat="1" ht="31.5" x14ac:dyDescent="0.25">
      <c r="A469" s="264" t="s">
        <v>124</v>
      </c>
      <c r="B469" s="380" t="s">
        <v>76</v>
      </c>
      <c r="C469" s="488" t="s">
        <v>14</v>
      </c>
      <c r="D469" s="380" t="s">
        <v>28</v>
      </c>
      <c r="E469" s="265" t="s">
        <v>434</v>
      </c>
      <c r="F469" s="380" t="s">
        <v>117</v>
      </c>
      <c r="G469" s="282"/>
      <c r="H469" s="303">
        <f>10-5</f>
        <v>5</v>
      </c>
      <c r="I469" s="265"/>
      <c r="J469" s="265">
        <v>16</v>
      </c>
      <c r="K469" s="265"/>
      <c r="L469" s="265"/>
      <c r="M469" s="602">
        <v>30</v>
      </c>
      <c r="N469" s="570"/>
      <c r="O469" s="571"/>
      <c r="P469" s="571"/>
      <c r="Q469" s="571"/>
      <c r="R469" s="571"/>
      <c r="S469" s="566">
        <f t="shared" si="194"/>
        <v>51</v>
      </c>
    </row>
    <row r="470" spans="1:19" s="80" customFormat="1" ht="47.25" x14ac:dyDescent="0.25">
      <c r="A470" s="267" t="s">
        <v>502</v>
      </c>
      <c r="B470" s="497" t="s">
        <v>76</v>
      </c>
      <c r="C470" s="496" t="s">
        <v>14</v>
      </c>
      <c r="D470" s="497" t="s">
        <v>28</v>
      </c>
      <c r="E470" s="285" t="s">
        <v>494</v>
      </c>
      <c r="F470" s="497" t="s">
        <v>9</v>
      </c>
      <c r="G470" s="283">
        <f t="shared" ref="G470:R470" si="215">G471</f>
        <v>0</v>
      </c>
      <c r="H470" s="304">
        <f t="shared" si="215"/>
        <v>2.5</v>
      </c>
      <c r="I470" s="283">
        <f t="shared" si="215"/>
        <v>0</v>
      </c>
      <c r="J470" s="283">
        <f t="shared" si="215"/>
        <v>5</v>
      </c>
      <c r="K470" s="283">
        <f t="shared" si="215"/>
        <v>0</v>
      </c>
      <c r="L470" s="283">
        <f t="shared" si="215"/>
        <v>0</v>
      </c>
      <c r="M470" s="568">
        <f t="shared" si="215"/>
        <v>0</v>
      </c>
      <c r="N470" s="568">
        <f t="shared" si="215"/>
        <v>0</v>
      </c>
      <c r="O470" s="569">
        <f t="shared" si="215"/>
        <v>0</v>
      </c>
      <c r="P470" s="569">
        <f t="shared" si="215"/>
        <v>0</v>
      </c>
      <c r="Q470" s="569">
        <f t="shared" si="215"/>
        <v>0</v>
      </c>
      <c r="R470" s="569">
        <f t="shared" si="215"/>
        <v>0</v>
      </c>
      <c r="S470" s="132">
        <f t="shared" si="194"/>
        <v>7.5</v>
      </c>
    </row>
    <row r="471" spans="1:19" s="80" customFormat="1" ht="31.5" x14ac:dyDescent="0.25">
      <c r="A471" s="264" t="s">
        <v>124</v>
      </c>
      <c r="B471" s="380" t="s">
        <v>76</v>
      </c>
      <c r="C471" s="488" t="s">
        <v>14</v>
      </c>
      <c r="D471" s="380" t="s">
        <v>28</v>
      </c>
      <c r="E471" s="265" t="s">
        <v>494</v>
      </c>
      <c r="F471" s="380" t="s">
        <v>117</v>
      </c>
      <c r="G471" s="282"/>
      <c r="H471" s="303">
        <v>2.5</v>
      </c>
      <c r="I471" s="265"/>
      <c r="J471" s="265">
        <v>5</v>
      </c>
      <c r="K471" s="265"/>
      <c r="L471" s="265"/>
      <c r="M471" s="570"/>
      <c r="N471" s="570"/>
      <c r="O471" s="571"/>
      <c r="P471" s="571"/>
      <c r="Q471" s="571"/>
      <c r="R471" s="571"/>
      <c r="S471" s="566">
        <f t="shared" si="194"/>
        <v>7.5</v>
      </c>
    </row>
    <row r="472" spans="1:19" s="77" customFormat="1" x14ac:dyDescent="0.25">
      <c r="A472" s="264" t="s">
        <v>80</v>
      </c>
      <c r="B472" s="380" t="s">
        <v>76</v>
      </c>
      <c r="C472" s="488" t="s">
        <v>20</v>
      </c>
      <c r="D472" s="380" t="s">
        <v>10</v>
      </c>
      <c r="E472" s="265" t="s">
        <v>365</v>
      </c>
      <c r="F472" s="380" t="s">
        <v>9</v>
      </c>
      <c r="G472" s="282">
        <f t="shared" ref="G472:R472" si="216">G473+G482</f>
        <v>0</v>
      </c>
      <c r="H472" s="303">
        <f t="shared" si="216"/>
        <v>1536.8</v>
      </c>
      <c r="I472" s="282">
        <f t="shared" si="216"/>
        <v>0</v>
      </c>
      <c r="J472" s="282">
        <f t="shared" si="216"/>
        <v>0</v>
      </c>
      <c r="K472" s="282">
        <f t="shared" si="216"/>
        <v>73.3</v>
      </c>
      <c r="L472" s="282">
        <f t="shared" si="216"/>
        <v>10</v>
      </c>
      <c r="M472" s="566">
        <f t="shared" si="216"/>
        <v>657.3</v>
      </c>
      <c r="N472" s="566">
        <f t="shared" si="216"/>
        <v>150</v>
      </c>
      <c r="O472" s="567">
        <f t="shared" si="216"/>
        <v>0</v>
      </c>
      <c r="P472" s="567">
        <f t="shared" si="216"/>
        <v>0</v>
      </c>
      <c r="Q472" s="567">
        <f t="shared" si="216"/>
        <v>0</v>
      </c>
      <c r="R472" s="567">
        <f t="shared" si="216"/>
        <v>0</v>
      </c>
      <c r="S472" s="131">
        <f t="shared" si="194"/>
        <v>2427.3999999999996</v>
      </c>
    </row>
    <row r="473" spans="1:19" s="77" customFormat="1" ht="31.5" x14ac:dyDescent="0.25">
      <c r="A473" s="267" t="s">
        <v>891</v>
      </c>
      <c r="B473" s="497" t="s">
        <v>76</v>
      </c>
      <c r="C473" s="496" t="s">
        <v>20</v>
      </c>
      <c r="D473" s="497" t="s">
        <v>18</v>
      </c>
      <c r="E473" s="285" t="s">
        <v>365</v>
      </c>
      <c r="F473" s="497" t="s">
        <v>9</v>
      </c>
      <c r="G473" s="283">
        <f t="shared" ref="G473:R473" si="217">G474</f>
        <v>0</v>
      </c>
      <c r="H473" s="304">
        <f t="shared" si="217"/>
        <v>1534.3</v>
      </c>
      <c r="I473" s="283">
        <f t="shared" si="217"/>
        <v>0</v>
      </c>
      <c r="J473" s="283">
        <f t="shared" si="217"/>
        <v>0</v>
      </c>
      <c r="K473" s="283">
        <f t="shared" si="217"/>
        <v>73.3</v>
      </c>
      <c r="L473" s="283">
        <f t="shared" si="217"/>
        <v>0</v>
      </c>
      <c r="M473" s="568">
        <f t="shared" si="217"/>
        <v>0</v>
      </c>
      <c r="N473" s="568">
        <f t="shared" si="217"/>
        <v>0</v>
      </c>
      <c r="O473" s="569">
        <f t="shared" si="217"/>
        <v>0</v>
      </c>
      <c r="P473" s="569">
        <f t="shared" si="217"/>
        <v>0</v>
      </c>
      <c r="Q473" s="569">
        <f t="shared" si="217"/>
        <v>0</v>
      </c>
      <c r="R473" s="569">
        <f t="shared" si="217"/>
        <v>0</v>
      </c>
      <c r="S473" s="132">
        <f t="shared" si="194"/>
        <v>1607.6</v>
      </c>
    </row>
    <row r="474" spans="1:19" s="80" customFormat="1" ht="31.5" x14ac:dyDescent="0.25">
      <c r="A474" s="267" t="s">
        <v>784</v>
      </c>
      <c r="B474" s="497" t="s">
        <v>76</v>
      </c>
      <c r="C474" s="496" t="s">
        <v>20</v>
      </c>
      <c r="D474" s="497" t="s">
        <v>18</v>
      </c>
      <c r="E474" s="285" t="s">
        <v>380</v>
      </c>
      <c r="F474" s="497" t="s">
        <v>9</v>
      </c>
      <c r="G474" s="283">
        <f t="shared" ref="G474:R474" si="218">G475+G478</f>
        <v>0</v>
      </c>
      <c r="H474" s="304">
        <f t="shared" si="218"/>
        <v>1534.3</v>
      </c>
      <c r="I474" s="283">
        <f t="shared" si="218"/>
        <v>0</v>
      </c>
      <c r="J474" s="283">
        <f t="shared" si="218"/>
        <v>0</v>
      </c>
      <c r="K474" s="283">
        <f t="shared" si="218"/>
        <v>73.3</v>
      </c>
      <c r="L474" s="283">
        <f t="shared" si="218"/>
        <v>0</v>
      </c>
      <c r="M474" s="568">
        <f t="shared" si="218"/>
        <v>0</v>
      </c>
      <c r="N474" s="568">
        <f t="shared" si="218"/>
        <v>0</v>
      </c>
      <c r="O474" s="569">
        <f t="shared" si="218"/>
        <v>0</v>
      </c>
      <c r="P474" s="569">
        <f t="shared" si="218"/>
        <v>0</v>
      </c>
      <c r="Q474" s="569">
        <f t="shared" si="218"/>
        <v>0</v>
      </c>
      <c r="R474" s="569">
        <f t="shared" si="218"/>
        <v>0</v>
      </c>
      <c r="S474" s="132">
        <f t="shared" si="194"/>
        <v>1607.6</v>
      </c>
    </row>
    <row r="475" spans="1:19" s="80" customFormat="1" x14ac:dyDescent="0.25">
      <c r="A475" s="267" t="s">
        <v>127</v>
      </c>
      <c r="B475" s="497" t="s">
        <v>76</v>
      </c>
      <c r="C475" s="496" t="s">
        <v>20</v>
      </c>
      <c r="D475" s="497" t="s">
        <v>18</v>
      </c>
      <c r="E475" s="285" t="s">
        <v>419</v>
      </c>
      <c r="F475" s="497" t="s">
        <v>9</v>
      </c>
      <c r="G475" s="283">
        <f t="shared" ref="G475:R476" si="219">G476</f>
        <v>0</v>
      </c>
      <c r="H475" s="304">
        <f t="shared" si="219"/>
        <v>86</v>
      </c>
      <c r="I475" s="283">
        <f t="shared" si="219"/>
        <v>0</v>
      </c>
      <c r="J475" s="283">
        <f t="shared" si="219"/>
        <v>0</v>
      </c>
      <c r="K475" s="283">
        <f t="shared" si="219"/>
        <v>0</v>
      </c>
      <c r="L475" s="283">
        <f t="shared" si="219"/>
        <v>0</v>
      </c>
      <c r="M475" s="568">
        <f t="shared" si="219"/>
        <v>0</v>
      </c>
      <c r="N475" s="568">
        <f t="shared" si="219"/>
        <v>0</v>
      </c>
      <c r="O475" s="569">
        <f t="shared" si="219"/>
        <v>0</v>
      </c>
      <c r="P475" s="569">
        <f t="shared" si="219"/>
        <v>0</v>
      </c>
      <c r="Q475" s="569">
        <f t="shared" si="219"/>
        <v>0</v>
      </c>
      <c r="R475" s="569">
        <f t="shared" si="219"/>
        <v>0</v>
      </c>
      <c r="S475" s="132">
        <f t="shared" si="194"/>
        <v>86</v>
      </c>
    </row>
    <row r="476" spans="1:19" s="80" customFormat="1" x14ac:dyDescent="0.25">
      <c r="A476" s="267" t="s">
        <v>128</v>
      </c>
      <c r="B476" s="497" t="s">
        <v>76</v>
      </c>
      <c r="C476" s="496" t="s">
        <v>20</v>
      </c>
      <c r="D476" s="497" t="s">
        <v>18</v>
      </c>
      <c r="E476" s="285" t="s">
        <v>435</v>
      </c>
      <c r="F476" s="497" t="s">
        <v>9</v>
      </c>
      <c r="G476" s="283">
        <f t="shared" si="219"/>
        <v>0</v>
      </c>
      <c r="H476" s="304">
        <f t="shared" si="219"/>
        <v>86</v>
      </c>
      <c r="I476" s="283">
        <f t="shared" si="219"/>
        <v>0</v>
      </c>
      <c r="J476" s="283">
        <f t="shared" si="219"/>
        <v>0</v>
      </c>
      <c r="K476" s="283">
        <f t="shared" si="219"/>
        <v>0</v>
      </c>
      <c r="L476" s="283">
        <f t="shared" si="219"/>
        <v>0</v>
      </c>
      <c r="M476" s="568">
        <f t="shared" si="219"/>
        <v>0</v>
      </c>
      <c r="N476" s="568">
        <f t="shared" si="219"/>
        <v>0</v>
      </c>
      <c r="O476" s="569">
        <f t="shared" si="219"/>
        <v>0</v>
      </c>
      <c r="P476" s="569">
        <f t="shared" si="219"/>
        <v>0</v>
      </c>
      <c r="Q476" s="569">
        <f t="shared" si="219"/>
        <v>0</v>
      </c>
      <c r="R476" s="569">
        <f t="shared" si="219"/>
        <v>0</v>
      </c>
      <c r="S476" s="132">
        <f t="shared" si="194"/>
        <v>86</v>
      </c>
    </row>
    <row r="477" spans="1:19" s="80" customFormat="1" x14ac:dyDescent="0.25">
      <c r="A477" s="264" t="s">
        <v>123</v>
      </c>
      <c r="B477" s="380" t="s">
        <v>76</v>
      </c>
      <c r="C477" s="488" t="s">
        <v>20</v>
      </c>
      <c r="D477" s="380" t="s">
        <v>18</v>
      </c>
      <c r="E477" s="265" t="s">
        <v>435</v>
      </c>
      <c r="F477" s="380" t="s">
        <v>119</v>
      </c>
      <c r="G477" s="282"/>
      <c r="H477" s="303">
        <v>86</v>
      </c>
      <c r="I477" s="265"/>
      <c r="J477" s="265"/>
      <c r="K477" s="265"/>
      <c r="L477" s="265"/>
      <c r="M477" s="570"/>
      <c r="N477" s="570"/>
      <c r="O477" s="571"/>
      <c r="P477" s="571"/>
      <c r="Q477" s="571"/>
      <c r="R477" s="571"/>
      <c r="S477" s="566">
        <f t="shared" si="194"/>
        <v>86</v>
      </c>
    </row>
    <row r="478" spans="1:19" s="77" customFormat="1" ht="31.5" x14ac:dyDescent="0.25">
      <c r="A478" s="267" t="s">
        <v>568</v>
      </c>
      <c r="B478" s="497" t="s">
        <v>76</v>
      </c>
      <c r="C478" s="496" t="s">
        <v>20</v>
      </c>
      <c r="D478" s="497" t="s">
        <v>18</v>
      </c>
      <c r="E478" s="285" t="s">
        <v>421</v>
      </c>
      <c r="F478" s="497" t="s">
        <v>9</v>
      </c>
      <c r="G478" s="283">
        <f t="shared" ref="G478:R478" si="220">G479</f>
        <v>0</v>
      </c>
      <c r="H478" s="304">
        <f t="shared" si="220"/>
        <v>1448.3</v>
      </c>
      <c r="I478" s="283">
        <f t="shared" si="220"/>
        <v>0</v>
      </c>
      <c r="J478" s="283">
        <f t="shared" si="220"/>
        <v>0</v>
      </c>
      <c r="K478" s="283">
        <f t="shared" si="220"/>
        <v>73.3</v>
      </c>
      <c r="L478" s="283">
        <f t="shared" si="220"/>
        <v>0</v>
      </c>
      <c r="M478" s="568">
        <f t="shared" si="220"/>
        <v>0</v>
      </c>
      <c r="N478" s="568">
        <f t="shared" si="220"/>
        <v>0</v>
      </c>
      <c r="O478" s="569">
        <f t="shared" si="220"/>
        <v>0</v>
      </c>
      <c r="P478" s="569">
        <f t="shared" si="220"/>
        <v>0</v>
      </c>
      <c r="Q478" s="569">
        <f t="shared" si="220"/>
        <v>0</v>
      </c>
      <c r="R478" s="569">
        <f t="shared" si="220"/>
        <v>0</v>
      </c>
      <c r="S478" s="132">
        <f t="shared" si="194"/>
        <v>1521.6</v>
      </c>
    </row>
    <row r="479" spans="1:19" s="77" customFormat="1" x14ac:dyDescent="0.25">
      <c r="A479" s="267" t="s">
        <v>82</v>
      </c>
      <c r="B479" s="497" t="s">
        <v>76</v>
      </c>
      <c r="C479" s="496" t="s">
        <v>20</v>
      </c>
      <c r="D479" s="497" t="s">
        <v>18</v>
      </c>
      <c r="E479" s="285" t="s">
        <v>436</v>
      </c>
      <c r="F479" s="497" t="s">
        <v>9</v>
      </c>
      <c r="G479" s="283">
        <f t="shared" ref="G479:R479" si="221">G480+G481</f>
        <v>0</v>
      </c>
      <c r="H479" s="304">
        <f t="shared" si="221"/>
        <v>1448.3</v>
      </c>
      <c r="I479" s="283">
        <f t="shared" si="221"/>
        <v>0</v>
      </c>
      <c r="J479" s="283">
        <f t="shared" si="221"/>
        <v>0</v>
      </c>
      <c r="K479" s="283">
        <f t="shared" si="221"/>
        <v>73.3</v>
      </c>
      <c r="L479" s="283">
        <f t="shared" si="221"/>
        <v>0</v>
      </c>
      <c r="M479" s="568">
        <f t="shared" si="221"/>
        <v>0</v>
      </c>
      <c r="N479" s="568">
        <f t="shared" si="221"/>
        <v>0</v>
      </c>
      <c r="O479" s="569">
        <f t="shared" si="221"/>
        <v>0</v>
      </c>
      <c r="P479" s="569">
        <f t="shared" si="221"/>
        <v>0</v>
      </c>
      <c r="Q479" s="569">
        <f t="shared" si="221"/>
        <v>0</v>
      </c>
      <c r="R479" s="569">
        <f t="shared" si="221"/>
        <v>0</v>
      </c>
      <c r="S479" s="132">
        <f t="shared" si="194"/>
        <v>1521.6</v>
      </c>
    </row>
    <row r="480" spans="1:19" s="80" customFormat="1" ht="63" x14ac:dyDescent="0.25">
      <c r="A480" s="264" t="s">
        <v>115</v>
      </c>
      <c r="B480" s="380" t="s">
        <v>76</v>
      </c>
      <c r="C480" s="488" t="s">
        <v>20</v>
      </c>
      <c r="D480" s="380" t="s">
        <v>18</v>
      </c>
      <c r="E480" s="265" t="s">
        <v>436</v>
      </c>
      <c r="F480" s="380" t="s">
        <v>113</v>
      </c>
      <c r="G480" s="282"/>
      <c r="H480" s="303">
        <v>1448.3</v>
      </c>
      <c r="I480" s="265"/>
      <c r="J480" s="265"/>
      <c r="K480" s="419">
        <v>73.3</v>
      </c>
      <c r="L480" s="265"/>
      <c r="M480" s="570"/>
      <c r="N480" s="570"/>
      <c r="O480" s="571"/>
      <c r="P480" s="571"/>
      <c r="Q480" s="571"/>
      <c r="R480" s="571"/>
      <c r="S480" s="566">
        <f t="shared" si="194"/>
        <v>1521.6</v>
      </c>
    </row>
    <row r="481" spans="1:19" s="80" customFormat="1" ht="31.15" hidden="1" x14ac:dyDescent="0.3">
      <c r="A481" s="264" t="s">
        <v>124</v>
      </c>
      <c r="B481" s="380" t="s">
        <v>76</v>
      </c>
      <c r="C481" s="488" t="s">
        <v>20</v>
      </c>
      <c r="D481" s="380" t="s">
        <v>18</v>
      </c>
      <c r="E481" s="265" t="s">
        <v>436</v>
      </c>
      <c r="F481" s="380" t="s">
        <v>117</v>
      </c>
      <c r="G481" s="282"/>
      <c r="H481" s="303"/>
      <c r="I481" s="265"/>
      <c r="J481" s="265"/>
      <c r="K481" s="265"/>
      <c r="L481" s="265"/>
      <c r="M481" s="570"/>
      <c r="N481" s="570"/>
      <c r="O481" s="571"/>
      <c r="P481" s="571"/>
      <c r="Q481" s="571"/>
      <c r="R481" s="571"/>
      <c r="S481" s="131">
        <f t="shared" si="194"/>
        <v>0</v>
      </c>
    </row>
    <row r="482" spans="1:19" s="80" customFormat="1" ht="31.5" x14ac:dyDescent="0.25">
      <c r="A482" s="267" t="s">
        <v>83</v>
      </c>
      <c r="B482" s="497" t="s">
        <v>76</v>
      </c>
      <c r="C482" s="496" t="s">
        <v>20</v>
      </c>
      <c r="D482" s="497" t="s">
        <v>63</v>
      </c>
      <c r="E482" s="285" t="s">
        <v>365</v>
      </c>
      <c r="F482" s="497" t="s">
        <v>9</v>
      </c>
      <c r="G482" s="283">
        <f t="shared" ref="G482:R482" si="222">G489</f>
        <v>0</v>
      </c>
      <c r="H482" s="304">
        <f t="shared" si="222"/>
        <v>2.5</v>
      </c>
      <c r="I482" s="283">
        <f t="shared" si="222"/>
        <v>0</v>
      </c>
      <c r="J482" s="283">
        <f t="shared" si="222"/>
        <v>0</v>
      </c>
      <c r="K482" s="283">
        <f t="shared" si="222"/>
        <v>0</v>
      </c>
      <c r="L482" s="283">
        <f t="shared" si="222"/>
        <v>10</v>
      </c>
      <c r="M482" s="568">
        <f>M489+M483</f>
        <v>657.3</v>
      </c>
      <c r="N482" s="568">
        <f t="shared" si="222"/>
        <v>150</v>
      </c>
      <c r="O482" s="569">
        <f t="shared" si="222"/>
        <v>0</v>
      </c>
      <c r="P482" s="569">
        <f t="shared" si="222"/>
        <v>0</v>
      </c>
      <c r="Q482" s="569">
        <f t="shared" si="222"/>
        <v>0</v>
      </c>
      <c r="R482" s="569">
        <f t="shared" si="222"/>
        <v>0</v>
      </c>
      <c r="S482" s="132">
        <f>G482+H482+I482+J482+K482+L482+M482+N482+O482+P482+Q482+R482</f>
        <v>819.8</v>
      </c>
    </row>
    <row r="483" spans="1:19" s="80" customFormat="1" ht="31.5" x14ac:dyDescent="0.25">
      <c r="A483" s="267" t="s">
        <v>787</v>
      </c>
      <c r="B483" s="618" t="s">
        <v>76</v>
      </c>
      <c r="C483" s="496" t="s">
        <v>20</v>
      </c>
      <c r="D483" s="618" t="s">
        <v>63</v>
      </c>
      <c r="E483" s="285" t="s">
        <v>495</v>
      </c>
      <c r="F483" s="619" t="s">
        <v>9</v>
      </c>
      <c r="G483" s="283"/>
      <c r="H483" s="304"/>
      <c r="I483" s="283"/>
      <c r="J483" s="283"/>
      <c r="K483" s="283"/>
      <c r="L483" s="283"/>
      <c r="M483" s="132">
        <f>M484</f>
        <v>10</v>
      </c>
      <c r="N483" s="568"/>
      <c r="O483" s="569"/>
      <c r="P483" s="569"/>
      <c r="Q483" s="569"/>
      <c r="R483" s="569"/>
      <c r="S483" s="132">
        <f>S484</f>
        <v>10</v>
      </c>
    </row>
    <row r="484" spans="1:19" s="80" customFormat="1" x14ac:dyDescent="0.25">
      <c r="A484" s="78" t="s">
        <v>79</v>
      </c>
      <c r="B484" s="618" t="s">
        <v>76</v>
      </c>
      <c r="C484" s="496" t="s">
        <v>20</v>
      </c>
      <c r="D484" s="618" t="s">
        <v>63</v>
      </c>
      <c r="E484" s="619" t="s">
        <v>1243</v>
      </c>
      <c r="F484" s="619" t="s">
        <v>9</v>
      </c>
      <c r="G484" s="283"/>
      <c r="H484" s="304"/>
      <c r="I484" s="283"/>
      <c r="J484" s="283"/>
      <c r="K484" s="283"/>
      <c r="L484" s="283"/>
      <c r="M484" s="132">
        <f>M485</f>
        <v>10</v>
      </c>
      <c r="N484" s="568"/>
      <c r="O484" s="569"/>
      <c r="P484" s="569"/>
      <c r="Q484" s="569"/>
      <c r="R484" s="569"/>
      <c r="S484" s="132">
        <f>S485</f>
        <v>10</v>
      </c>
    </row>
    <row r="485" spans="1:19" s="80" customFormat="1" x14ac:dyDescent="0.25">
      <c r="A485" s="74" t="s">
        <v>125</v>
      </c>
      <c r="B485" s="380" t="s">
        <v>76</v>
      </c>
      <c r="C485" s="488" t="s">
        <v>20</v>
      </c>
      <c r="D485" s="380" t="s">
        <v>63</v>
      </c>
      <c r="E485" s="75" t="s">
        <v>1243</v>
      </c>
      <c r="F485" s="75" t="s">
        <v>118</v>
      </c>
      <c r="G485" s="282"/>
      <c r="H485" s="303"/>
      <c r="I485" s="282"/>
      <c r="J485" s="282"/>
      <c r="K485" s="282"/>
      <c r="L485" s="282"/>
      <c r="M485" s="566">
        <v>10</v>
      </c>
      <c r="N485" s="566"/>
      <c r="O485" s="567"/>
      <c r="P485" s="567"/>
      <c r="Q485" s="567"/>
      <c r="R485" s="567"/>
      <c r="S485" s="566">
        <f>G485+H485+I485+J485+K485+L485+M485+N485+O485+P485+Q485+R485</f>
        <v>10</v>
      </c>
    </row>
    <row r="486" spans="1:19" s="80" customFormat="1" ht="15.6" hidden="1" x14ac:dyDescent="0.3">
      <c r="A486" s="267"/>
      <c r="B486" s="618" t="s">
        <v>76</v>
      </c>
      <c r="C486" s="496" t="s">
        <v>20</v>
      </c>
      <c r="D486" s="618" t="s">
        <v>63</v>
      </c>
      <c r="E486" s="619"/>
      <c r="F486" s="619"/>
      <c r="G486" s="283"/>
      <c r="H486" s="304"/>
      <c r="I486" s="283"/>
      <c r="J486" s="283"/>
      <c r="K486" s="283"/>
      <c r="L486" s="283"/>
      <c r="M486" s="568"/>
      <c r="N486" s="568"/>
      <c r="O486" s="569"/>
      <c r="P486" s="569"/>
      <c r="Q486" s="569"/>
      <c r="R486" s="569"/>
      <c r="S486" s="132"/>
    </row>
    <row r="487" spans="1:19" s="80" customFormat="1" ht="15.6" hidden="1" x14ac:dyDescent="0.3">
      <c r="A487" s="267"/>
      <c r="B487" s="618" t="s">
        <v>76</v>
      </c>
      <c r="C487" s="496" t="s">
        <v>20</v>
      </c>
      <c r="D487" s="618" t="s">
        <v>63</v>
      </c>
      <c r="E487" s="619"/>
      <c r="F487" s="619"/>
      <c r="G487" s="283"/>
      <c r="H487" s="304"/>
      <c r="I487" s="283"/>
      <c r="J487" s="283"/>
      <c r="K487" s="283"/>
      <c r="L487" s="283"/>
      <c r="M487" s="568"/>
      <c r="N487" s="568"/>
      <c r="O487" s="569"/>
      <c r="P487" s="569"/>
      <c r="Q487" s="569"/>
      <c r="R487" s="569"/>
      <c r="S487" s="132"/>
    </row>
    <row r="488" spans="1:19" s="80" customFormat="1" ht="15.6" hidden="1" x14ac:dyDescent="0.3">
      <c r="A488" s="267"/>
      <c r="B488" s="619"/>
      <c r="C488" s="619"/>
      <c r="D488" s="619"/>
      <c r="E488" s="619"/>
      <c r="F488" s="619"/>
      <c r="G488" s="283"/>
      <c r="H488" s="304"/>
      <c r="I488" s="283"/>
      <c r="J488" s="283"/>
      <c r="K488" s="283"/>
      <c r="L488" s="283"/>
      <c r="M488" s="568"/>
      <c r="N488" s="568"/>
      <c r="O488" s="569"/>
      <c r="P488" s="569"/>
      <c r="Q488" s="569"/>
      <c r="R488" s="569"/>
      <c r="S488" s="132"/>
    </row>
    <row r="489" spans="1:19" s="80" customFormat="1" ht="31.5" x14ac:dyDescent="0.25">
      <c r="A489" s="267" t="s">
        <v>784</v>
      </c>
      <c r="B489" s="497" t="s">
        <v>76</v>
      </c>
      <c r="C489" s="496" t="s">
        <v>20</v>
      </c>
      <c r="D489" s="497" t="s">
        <v>63</v>
      </c>
      <c r="E489" s="285" t="s">
        <v>380</v>
      </c>
      <c r="F489" s="497" t="s">
        <v>9</v>
      </c>
      <c r="G489" s="283">
        <f>G490+G498</f>
        <v>0</v>
      </c>
      <c r="H489" s="283">
        <f t="shared" ref="H489:R489" si="223">H490+H498</f>
        <v>2.5</v>
      </c>
      <c r="I489" s="283">
        <f t="shared" si="223"/>
        <v>0</v>
      </c>
      <c r="J489" s="283">
        <f t="shared" si="223"/>
        <v>0</v>
      </c>
      <c r="K489" s="283">
        <f t="shared" si="223"/>
        <v>0</v>
      </c>
      <c r="L489" s="283">
        <f t="shared" si="223"/>
        <v>10</v>
      </c>
      <c r="M489" s="132">
        <f t="shared" si="223"/>
        <v>647.29999999999995</v>
      </c>
      <c r="N489" s="568">
        <f t="shared" si="223"/>
        <v>150</v>
      </c>
      <c r="O489" s="132">
        <f t="shared" si="223"/>
        <v>0</v>
      </c>
      <c r="P489" s="132">
        <f t="shared" si="223"/>
        <v>0</v>
      </c>
      <c r="Q489" s="132">
        <f t="shared" si="223"/>
        <v>0</v>
      </c>
      <c r="R489" s="132">
        <f t="shared" si="223"/>
        <v>0</v>
      </c>
      <c r="S489" s="132">
        <f t="shared" si="194"/>
        <v>809.8</v>
      </c>
    </row>
    <row r="490" spans="1:19" s="77" customFormat="1" x14ac:dyDescent="0.25">
      <c r="A490" s="267" t="s">
        <v>15</v>
      </c>
      <c r="B490" s="497" t="s">
        <v>76</v>
      </c>
      <c r="C490" s="496" t="s">
        <v>20</v>
      </c>
      <c r="D490" s="497" t="s">
        <v>63</v>
      </c>
      <c r="E490" s="285" t="s">
        <v>433</v>
      </c>
      <c r="F490" s="497" t="s">
        <v>9</v>
      </c>
      <c r="G490" s="283">
        <f t="shared" ref="G490:R490" si="224">G496+G491+G494</f>
        <v>0</v>
      </c>
      <c r="H490" s="304">
        <f t="shared" si="224"/>
        <v>2.5</v>
      </c>
      <c r="I490" s="283">
        <f t="shared" si="224"/>
        <v>0</v>
      </c>
      <c r="J490" s="283">
        <f t="shared" si="224"/>
        <v>0</v>
      </c>
      <c r="K490" s="283">
        <f t="shared" si="224"/>
        <v>0</v>
      </c>
      <c r="L490" s="283">
        <f t="shared" si="224"/>
        <v>10</v>
      </c>
      <c r="M490" s="568">
        <f t="shared" si="224"/>
        <v>25</v>
      </c>
      <c r="N490" s="568">
        <f t="shared" si="224"/>
        <v>0</v>
      </c>
      <c r="O490" s="132">
        <f t="shared" si="224"/>
        <v>0</v>
      </c>
      <c r="P490" s="132">
        <f t="shared" si="224"/>
        <v>0</v>
      </c>
      <c r="Q490" s="132">
        <f t="shared" si="224"/>
        <v>0</v>
      </c>
      <c r="R490" s="132">
        <f t="shared" si="224"/>
        <v>0</v>
      </c>
      <c r="S490" s="132">
        <f t="shared" si="194"/>
        <v>37.5</v>
      </c>
    </row>
    <row r="491" spans="1:19" s="77" customFormat="1" ht="46.9" hidden="1" x14ac:dyDescent="0.3">
      <c r="A491" s="267" t="s">
        <v>41</v>
      </c>
      <c r="B491" s="497" t="s">
        <v>76</v>
      </c>
      <c r="C491" s="496" t="s">
        <v>20</v>
      </c>
      <c r="D491" s="497" t="s">
        <v>63</v>
      </c>
      <c r="E491" s="285" t="s">
        <v>504</v>
      </c>
      <c r="F491" s="497" t="s">
        <v>9</v>
      </c>
      <c r="G491" s="283">
        <f t="shared" ref="G491:R492" si="225">G492</f>
        <v>0</v>
      </c>
      <c r="H491" s="304">
        <f t="shared" si="225"/>
        <v>0</v>
      </c>
      <c r="I491" s="283">
        <f t="shared" si="225"/>
        <v>0</v>
      </c>
      <c r="J491" s="283">
        <f t="shared" si="225"/>
        <v>0</v>
      </c>
      <c r="K491" s="283">
        <f t="shared" si="225"/>
        <v>0</v>
      </c>
      <c r="L491" s="283">
        <f t="shared" si="225"/>
        <v>0</v>
      </c>
      <c r="M491" s="568">
        <f t="shared" si="225"/>
        <v>0</v>
      </c>
      <c r="N491" s="568">
        <f t="shared" si="225"/>
        <v>0</v>
      </c>
      <c r="O491" s="132">
        <f t="shared" si="225"/>
        <v>0</v>
      </c>
      <c r="P491" s="132">
        <f t="shared" si="225"/>
        <v>0</v>
      </c>
      <c r="Q491" s="132">
        <f t="shared" si="225"/>
        <v>0</v>
      </c>
      <c r="R491" s="132">
        <f t="shared" si="225"/>
        <v>0</v>
      </c>
      <c r="S491" s="132">
        <f t="shared" si="194"/>
        <v>0</v>
      </c>
    </row>
    <row r="492" spans="1:19" s="77" customFormat="1" ht="15.6" hidden="1" x14ac:dyDescent="0.3">
      <c r="A492" s="267" t="s">
        <v>1101</v>
      </c>
      <c r="B492" s="497" t="s">
        <v>76</v>
      </c>
      <c r="C492" s="496" t="s">
        <v>20</v>
      </c>
      <c r="D492" s="497" t="s">
        <v>63</v>
      </c>
      <c r="E492" s="285" t="s">
        <v>1099</v>
      </c>
      <c r="F492" s="497" t="s">
        <v>9</v>
      </c>
      <c r="G492" s="283">
        <f t="shared" si="225"/>
        <v>0</v>
      </c>
      <c r="H492" s="304">
        <f t="shared" si="225"/>
        <v>0</v>
      </c>
      <c r="I492" s="283">
        <f t="shared" si="225"/>
        <v>0</v>
      </c>
      <c r="J492" s="283">
        <f t="shared" si="225"/>
        <v>0</v>
      </c>
      <c r="K492" s="283">
        <f t="shared" si="225"/>
        <v>0</v>
      </c>
      <c r="L492" s="283">
        <f t="shared" si="225"/>
        <v>0</v>
      </c>
      <c r="M492" s="568">
        <f t="shared" si="225"/>
        <v>0</v>
      </c>
      <c r="N492" s="568">
        <f t="shared" si="225"/>
        <v>0</v>
      </c>
      <c r="O492" s="132">
        <f t="shared" si="225"/>
        <v>0</v>
      </c>
      <c r="P492" s="132">
        <f t="shared" si="225"/>
        <v>0</v>
      </c>
      <c r="Q492" s="132">
        <f t="shared" si="225"/>
        <v>0</v>
      </c>
      <c r="R492" s="132">
        <f t="shared" si="225"/>
        <v>0</v>
      </c>
      <c r="S492" s="132">
        <f t="shared" ref="S492:S574" si="226">G492+H492+I492+J492+K492+L492+M492+N492+O492+P492+Q492+R492</f>
        <v>0</v>
      </c>
    </row>
    <row r="493" spans="1:19" s="77" customFormat="1" ht="62.45" hidden="1" x14ac:dyDescent="0.3">
      <c r="A493" s="264" t="s">
        <v>115</v>
      </c>
      <c r="B493" s="380" t="s">
        <v>76</v>
      </c>
      <c r="C493" s="488" t="s">
        <v>20</v>
      </c>
      <c r="D493" s="380" t="s">
        <v>63</v>
      </c>
      <c r="E493" s="265" t="s">
        <v>1099</v>
      </c>
      <c r="F493" s="380" t="s">
        <v>113</v>
      </c>
      <c r="G493" s="300">
        <f>42.3-42.3</f>
        <v>0</v>
      </c>
      <c r="H493" s="303"/>
      <c r="I493" s="282"/>
      <c r="J493" s="282"/>
      <c r="K493" s="282"/>
      <c r="L493" s="282"/>
      <c r="M493" s="566"/>
      <c r="N493" s="566"/>
      <c r="O493" s="567"/>
      <c r="P493" s="567"/>
      <c r="Q493" s="567"/>
      <c r="R493" s="567"/>
      <c r="S493" s="131">
        <f t="shared" si="226"/>
        <v>0</v>
      </c>
    </row>
    <row r="494" spans="1:19" s="77" customFormat="1" ht="15.6" hidden="1" x14ac:dyDescent="0.3">
      <c r="A494" s="267" t="s">
        <v>1101</v>
      </c>
      <c r="B494" s="497" t="s">
        <v>76</v>
      </c>
      <c r="C494" s="496" t="s">
        <v>20</v>
      </c>
      <c r="D494" s="497" t="s">
        <v>63</v>
      </c>
      <c r="E494" s="285" t="s">
        <v>1100</v>
      </c>
      <c r="F494" s="497" t="s">
        <v>9</v>
      </c>
      <c r="G494" s="283">
        <f t="shared" ref="G494:R494" si="227">G495</f>
        <v>0</v>
      </c>
      <c r="H494" s="304">
        <f t="shared" si="227"/>
        <v>0</v>
      </c>
      <c r="I494" s="283">
        <f t="shared" si="227"/>
        <v>0</v>
      </c>
      <c r="J494" s="283">
        <f t="shared" si="227"/>
        <v>0</v>
      </c>
      <c r="K494" s="283">
        <f t="shared" si="227"/>
        <v>0</v>
      </c>
      <c r="L494" s="283">
        <f t="shared" si="227"/>
        <v>0</v>
      </c>
      <c r="M494" s="568">
        <f t="shared" si="227"/>
        <v>0</v>
      </c>
      <c r="N494" s="568">
        <f t="shared" si="227"/>
        <v>0</v>
      </c>
      <c r="O494" s="132">
        <f t="shared" si="227"/>
        <v>0</v>
      </c>
      <c r="P494" s="132">
        <f t="shared" si="227"/>
        <v>0</v>
      </c>
      <c r="Q494" s="132">
        <f t="shared" si="227"/>
        <v>0</v>
      </c>
      <c r="R494" s="132">
        <f t="shared" si="227"/>
        <v>0</v>
      </c>
      <c r="S494" s="132">
        <f t="shared" si="226"/>
        <v>0</v>
      </c>
    </row>
    <row r="495" spans="1:19" s="77" customFormat="1" ht="62.45" hidden="1" x14ac:dyDescent="0.3">
      <c r="A495" s="264" t="s">
        <v>115</v>
      </c>
      <c r="B495" s="380" t="s">
        <v>76</v>
      </c>
      <c r="C495" s="488" t="s">
        <v>20</v>
      </c>
      <c r="D495" s="380" t="s">
        <v>63</v>
      </c>
      <c r="E495" s="265" t="s">
        <v>1100</v>
      </c>
      <c r="F495" s="380" t="s">
        <v>113</v>
      </c>
      <c r="G495" s="300">
        <f>0.5-0.5</f>
        <v>0</v>
      </c>
      <c r="H495" s="303"/>
      <c r="I495" s="282"/>
      <c r="J495" s="282"/>
      <c r="K495" s="282"/>
      <c r="L495" s="282"/>
      <c r="M495" s="566"/>
      <c r="N495" s="566"/>
      <c r="O495" s="567"/>
      <c r="P495" s="567"/>
      <c r="Q495" s="567"/>
      <c r="R495" s="567"/>
      <c r="S495" s="131">
        <f t="shared" si="226"/>
        <v>0</v>
      </c>
    </row>
    <row r="496" spans="1:19" s="77" customFormat="1" ht="31.5" x14ac:dyDescent="0.25">
      <c r="A496" s="267" t="s">
        <v>84</v>
      </c>
      <c r="B496" s="497" t="s">
        <v>76</v>
      </c>
      <c r="C496" s="496" t="s">
        <v>20</v>
      </c>
      <c r="D496" s="497" t="s">
        <v>63</v>
      </c>
      <c r="E496" s="285" t="s">
        <v>437</v>
      </c>
      <c r="F496" s="497" t="s">
        <v>9</v>
      </c>
      <c r="G496" s="283">
        <f t="shared" ref="G496:R496" si="228">G497</f>
        <v>0</v>
      </c>
      <c r="H496" s="304">
        <f t="shared" si="228"/>
        <v>2.5</v>
      </c>
      <c r="I496" s="283">
        <f t="shared" si="228"/>
        <v>0</v>
      </c>
      <c r="J496" s="283">
        <f t="shared" si="228"/>
        <v>0</v>
      </c>
      <c r="K496" s="283">
        <f t="shared" si="228"/>
        <v>0</v>
      </c>
      <c r="L496" s="283">
        <f t="shared" si="228"/>
        <v>10</v>
      </c>
      <c r="M496" s="568">
        <f t="shared" si="228"/>
        <v>25</v>
      </c>
      <c r="N496" s="568">
        <f t="shared" si="228"/>
        <v>0</v>
      </c>
      <c r="O496" s="569">
        <f t="shared" si="228"/>
        <v>0</v>
      </c>
      <c r="P496" s="569">
        <f t="shared" si="228"/>
        <v>0</v>
      </c>
      <c r="Q496" s="569">
        <f t="shared" si="228"/>
        <v>0</v>
      </c>
      <c r="R496" s="569">
        <f t="shared" si="228"/>
        <v>0</v>
      </c>
      <c r="S496" s="132">
        <f t="shared" si="226"/>
        <v>37.5</v>
      </c>
    </row>
    <row r="497" spans="1:19" s="77" customFormat="1" ht="31.5" x14ac:dyDescent="0.25">
      <c r="A497" s="264" t="s">
        <v>124</v>
      </c>
      <c r="B497" s="380" t="s">
        <v>76</v>
      </c>
      <c r="C497" s="488" t="s">
        <v>20</v>
      </c>
      <c r="D497" s="380" t="s">
        <v>63</v>
      </c>
      <c r="E497" s="265" t="s">
        <v>437</v>
      </c>
      <c r="F497" s="380" t="s">
        <v>117</v>
      </c>
      <c r="G497" s="282"/>
      <c r="H497" s="303">
        <v>2.5</v>
      </c>
      <c r="I497" s="265"/>
      <c r="J497" s="265"/>
      <c r="K497" s="265"/>
      <c r="L497" s="265">
        <v>10</v>
      </c>
      <c r="M497" s="602">
        <v>25</v>
      </c>
      <c r="N497" s="570"/>
      <c r="O497" s="571"/>
      <c r="P497" s="571"/>
      <c r="Q497" s="571"/>
      <c r="R497" s="571"/>
      <c r="S497" s="566">
        <f t="shared" si="226"/>
        <v>37.5</v>
      </c>
    </row>
    <row r="498" spans="1:19" s="80" customFormat="1" ht="31.5" x14ac:dyDescent="0.25">
      <c r="A498" s="267" t="s">
        <v>52</v>
      </c>
      <c r="B498" s="553">
        <v>936</v>
      </c>
      <c r="C498" s="553" t="s">
        <v>20</v>
      </c>
      <c r="D498" s="553" t="s">
        <v>63</v>
      </c>
      <c r="E498" s="553" t="s">
        <v>394</v>
      </c>
      <c r="F498" s="553" t="s">
        <v>9</v>
      </c>
      <c r="G498" s="283">
        <f>G499+G502+G504</f>
        <v>0</v>
      </c>
      <c r="H498" s="283">
        <f t="shared" ref="H498:R498" si="229">H499+H502+H504</f>
        <v>0</v>
      </c>
      <c r="I498" s="283">
        <f t="shared" si="229"/>
        <v>0</v>
      </c>
      <c r="J498" s="283">
        <f t="shared" si="229"/>
        <v>0</v>
      </c>
      <c r="K498" s="283">
        <f t="shared" si="229"/>
        <v>0</v>
      </c>
      <c r="L498" s="283">
        <f t="shared" si="229"/>
        <v>0</v>
      </c>
      <c r="M498" s="283">
        <f t="shared" si="229"/>
        <v>622.29999999999995</v>
      </c>
      <c r="N498" s="132">
        <f t="shared" si="229"/>
        <v>150</v>
      </c>
      <c r="O498" s="132">
        <f t="shared" si="229"/>
        <v>0</v>
      </c>
      <c r="P498" s="132">
        <f t="shared" si="229"/>
        <v>0</v>
      </c>
      <c r="Q498" s="132">
        <f t="shared" si="229"/>
        <v>0</v>
      </c>
      <c r="R498" s="132">
        <f t="shared" si="229"/>
        <v>0</v>
      </c>
      <c r="S498" s="568">
        <f>G498+H498+I498+J498+K498+L498+M498+N498+O498+P498+Q498+R498</f>
        <v>772.3</v>
      </c>
    </row>
    <row r="499" spans="1:19" s="80" customFormat="1" ht="46.9" hidden="1" x14ac:dyDescent="0.3">
      <c r="A499" s="267" t="s">
        <v>41</v>
      </c>
      <c r="B499" s="599">
        <v>936</v>
      </c>
      <c r="C499" s="599" t="s">
        <v>20</v>
      </c>
      <c r="D499" s="599" t="s">
        <v>63</v>
      </c>
      <c r="E499" s="599" t="s">
        <v>438</v>
      </c>
      <c r="F499" s="599" t="s">
        <v>9</v>
      </c>
      <c r="G499" s="283">
        <f>G500</f>
        <v>0</v>
      </c>
      <c r="H499" s="283">
        <f t="shared" ref="H499:R499" si="230">H500</f>
        <v>0</v>
      </c>
      <c r="I499" s="283">
        <f t="shared" si="230"/>
        <v>0</v>
      </c>
      <c r="J499" s="283">
        <f t="shared" si="230"/>
        <v>0</v>
      </c>
      <c r="K499" s="283">
        <f t="shared" si="230"/>
        <v>0</v>
      </c>
      <c r="L499" s="283">
        <f t="shared" si="230"/>
        <v>0</v>
      </c>
      <c r="M499" s="283">
        <f t="shared" si="230"/>
        <v>300</v>
      </c>
      <c r="N499" s="132">
        <f t="shared" si="230"/>
        <v>-300</v>
      </c>
      <c r="O499" s="132">
        <f t="shared" si="230"/>
        <v>0</v>
      </c>
      <c r="P499" s="132">
        <f t="shared" si="230"/>
        <v>0</v>
      </c>
      <c r="Q499" s="132">
        <f t="shared" si="230"/>
        <v>0</v>
      </c>
      <c r="R499" s="132">
        <f t="shared" si="230"/>
        <v>0</v>
      </c>
      <c r="S499" s="568">
        <f>G499+H499+I499+J499+K499+L499+M499+N499+O499+P499+Q499+R499</f>
        <v>0</v>
      </c>
    </row>
    <row r="500" spans="1:19" s="80" customFormat="1" ht="15.6" hidden="1" x14ac:dyDescent="0.3">
      <c r="A500" s="267" t="s">
        <v>1234</v>
      </c>
      <c r="B500" s="599">
        <v>936</v>
      </c>
      <c r="C500" s="599" t="s">
        <v>20</v>
      </c>
      <c r="D500" s="599" t="s">
        <v>63</v>
      </c>
      <c r="E500" s="599" t="s">
        <v>1233</v>
      </c>
      <c r="F500" s="599" t="s">
        <v>9</v>
      </c>
      <c r="G500" s="283">
        <f>G501</f>
        <v>0</v>
      </c>
      <c r="H500" s="283">
        <f t="shared" ref="H500:R500" si="231">H501</f>
        <v>0</v>
      </c>
      <c r="I500" s="283">
        <f t="shared" si="231"/>
        <v>0</v>
      </c>
      <c r="J500" s="283">
        <f t="shared" si="231"/>
        <v>0</v>
      </c>
      <c r="K500" s="283">
        <f t="shared" si="231"/>
        <v>0</v>
      </c>
      <c r="L500" s="283">
        <f t="shared" si="231"/>
        <v>0</v>
      </c>
      <c r="M500" s="283">
        <f t="shared" si="231"/>
        <v>300</v>
      </c>
      <c r="N500" s="132">
        <f t="shared" si="231"/>
        <v>-300</v>
      </c>
      <c r="O500" s="132">
        <f t="shared" si="231"/>
        <v>0</v>
      </c>
      <c r="P500" s="132">
        <f t="shared" si="231"/>
        <v>0</v>
      </c>
      <c r="Q500" s="132">
        <f t="shared" si="231"/>
        <v>0</v>
      </c>
      <c r="R500" s="132">
        <f t="shared" si="231"/>
        <v>0</v>
      </c>
      <c r="S500" s="568">
        <f>G500+H500+I500+J500+K500+L500+M500+N500+O500+P500+Q500+R500</f>
        <v>0</v>
      </c>
    </row>
    <row r="501" spans="1:19" s="77" customFormat="1" ht="31.15" hidden="1" x14ac:dyDescent="0.3">
      <c r="A501" s="264" t="s">
        <v>124</v>
      </c>
      <c r="B501" s="75">
        <v>936</v>
      </c>
      <c r="C501" s="75" t="s">
        <v>20</v>
      </c>
      <c r="D501" s="75" t="s">
        <v>63</v>
      </c>
      <c r="E501" s="75" t="s">
        <v>1233</v>
      </c>
      <c r="F501" s="75" t="s">
        <v>117</v>
      </c>
      <c r="G501" s="282"/>
      <c r="H501" s="282"/>
      <c r="I501" s="282"/>
      <c r="J501" s="282"/>
      <c r="K501" s="282"/>
      <c r="L501" s="282"/>
      <c r="M501" s="396">
        <v>300</v>
      </c>
      <c r="N501" s="654">
        <v>-300</v>
      </c>
      <c r="O501" s="131"/>
      <c r="P501" s="131"/>
      <c r="Q501" s="131"/>
      <c r="R501" s="131"/>
      <c r="S501" s="566">
        <f>G501+H501+I501+J501+K501+L501+M501+N501+O501+P501+Q501+R501</f>
        <v>0</v>
      </c>
    </row>
    <row r="502" spans="1:19" s="80" customFormat="1" ht="15.6" hidden="1" x14ac:dyDescent="0.3">
      <c r="A502" s="267" t="s">
        <v>1234</v>
      </c>
      <c r="B502" s="599">
        <v>936</v>
      </c>
      <c r="C502" s="599" t="s">
        <v>20</v>
      </c>
      <c r="D502" s="599" t="s">
        <v>63</v>
      </c>
      <c r="E502" s="599" t="s">
        <v>1235</v>
      </c>
      <c r="F502" s="599" t="s">
        <v>9</v>
      </c>
      <c r="G502" s="283">
        <f>G503</f>
        <v>0</v>
      </c>
      <c r="H502" s="283">
        <f t="shared" ref="H502:R502" si="232">H503</f>
        <v>0</v>
      </c>
      <c r="I502" s="283">
        <f t="shared" si="232"/>
        <v>0</v>
      </c>
      <c r="J502" s="283">
        <f t="shared" si="232"/>
        <v>0</v>
      </c>
      <c r="K502" s="283">
        <f t="shared" si="232"/>
        <v>0</v>
      </c>
      <c r="L502" s="283">
        <f t="shared" si="232"/>
        <v>0</v>
      </c>
      <c r="M502" s="283">
        <f t="shared" si="232"/>
        <v>30.3</v>
      </c>
      <c r="N502" s="132">
        <f t="shared" si="232"/>
        <v>-30.3</v>
      </c>
      <c r="O502" s="132">
        <f t="shared" si="232"/>
        <v>0</v>
      </c>
      <c r="P502" s="132">
        <f t="shared" si="232"/>
        <v>0</v>
      </c>
      <c r="Q502" s="132">
        <f t="shared" si="232"/>
        <v>0</v>
      </c>
      <c r="R502" s="132">
        <f t="shared" si="232"/>
        <v>0</v>
      </c>
      <c r="S502" s="568">
        <f t="shared" ref="S502:S503" si="233">G502+H502+I502+J502+K502+L502+M502+N502+O502+P502+Q502+R502</f>
        <v>0</v>
      </c>
    </row>
    <row r="503" spans="1:19" s="77" customFormat="1" ht="31.15" hidden="1" x14ac:dyDescent="0.3">
      <c r="A503" s="264" t="s">
        <v>124</v>
      </c>
      <c r="B503" s="75">
        <v>936</v>
      </c>
      <c r="C503" s="75" t="s">
        <v>20</v>
      </c>
      <c r="D503" s="75" t="s">
        <v>63</v>
      </c>
      <c r="E503" s="75" t="s">
        <v>1235</v>
      </c>
      <c r="F503" s="75" t="s">
        <v>117</v>
      </c>
      <c r="G503" s="282"/>
      <c r="H503" s="282"/>
      <c r="I503" s="282"/>
      <c r="J503" s="282"/>
      <c r="K503" s="282"/>
      <c r="L503" s="282"/>
      <c r="M503" s="396">
        <v>30.3</v>
      </c>
      <c r="N503" s="654">
        <v>-30.3</v>
      </c>
      <c r="O503" s="131"/>
      <c r="P503" s="131"/>
      <c r="Q503" s="131"/>
      <c r="R503" s="131"/>
      <c r="S503" s="566">
        <f t="shared" si="233"/>
        <v>0</v>
      </c>
    </row>
    <row r="504" spans="1:19" s="80" customFormat="1" ht="47.25" x14ac:dyDescent="0.25">
      <c r="A504" s="267" t="s">
        <v>1223</v>
      </c>
      <c r="B504" s="553" t="s">
        <v>76</v>
      </c>
      <c r="C504" s="553" t="s">
        <v>20</v>
      </c>
      <c r="D504" s="553" t="s">
        <v>63</v>
      </c>
      <c r="E504" s="553" t="s">
        <v>1222</v>
      </c>
      <c r="F504" s="553" t="s">
        <v>9</v>
      </c>
      <c r="G504" s="283">
        <f>G505</f>
        <v>0</v>
      </c>
      <c r="H504" s="283">
        <f t="shared" ref="H504:R504" si="234">H505</f>
        <v>0</v>
      </c>
      <c r="I504" s="283">
        <f t="shared" si="234"/>
        <v>0</v>
      </c>
      <c r="J504" s="283">
        <f t="shared" si="234"/>
        <v>0</v>
      </c>
      <c r="K504" s="283">
        <f t="shared" si="234"/>
        <v>0</v>
      </c>
      <c r="L504" s="283">
        <f t="shared" si="234"/>
        <v>0</v>
      </c>
      <c r="M504" s="132">
        <f t="shared" si="234"/>
        <v>292</v>
      </c>
      <c r="N504" s="568">
        <f t="shared" si="234"/>
        <v>480.3</v>
      </c>
      <c r="O504" s="132">
        <f t="shared" si="234"/>
        <v>0</v>
      </c>
      <c r="P504" s="132">
        <f t="shared" si="234"/>
        <v>0</v>
      </c>
      <c r="Q504" s="132">
        <f t="shared" si="234"/>
        <v>0</v>
      </c>
      <c r="R504" s="132">
        <f t="shared" si="234"/>
        <v>0</v>
      </c>
      <c r="S504" s="568">
        <f t="shared" si="226"/>
        <v>772.3</v>
      </c>
    </row>
    <row r="505" spans="1:19" s="77" customFormat="1" ht="31.5" x14ac:dyDescent="0.25">
      <c r="A505" s="264" t="s">
        <v>124</v>
      </c>
      <c r="B505" s="75" t="s">
        <v>76</v>
      </c>
      <c r="C505" s="75" t="s">
        <v>20</v>
      </c>
      <c r="D505" s="75" t="s">
        <v>63</v>
      </c>
      <c r="E505" s="75" t="s">
        <v>1222</v>
      </c>
      <c r="F505" s="75" t="s">
        <v>117</v>
      </c>
      <c r="G505" s="282"/>
      <c r="H505" s="303"/>
      <c r="I505" s="265"/>
      <c r="J505" s="265"/>
      <c r="K505" s="265"/>
      <c r="L505" s="265"/>
      <c r="M505" s="396">
        <v>292</v>
      </c>
      <c r="N505" s="653">
        <f>330.3+150</f>
        <v>480.3</v>
      </c>
      <c r="O505" s="571"/>
      <c r="P505" s="571"/>
      <c r="Q505" s="571"/>
      <c r="R505" s="571"/>
      <c r="S505" s="566">
        <f t="shared" si="226"/>
        <v>772.3</v>
      </c>
    </row>
    <row r="506" spans="1:19" s="80" customFormat="1" x14ac:dyDescent="0.25">
      <c r="A506" s="264" t="s">
        <v>72</v>
      </c>
      <c r="B506" s="380" t="s">
        <v>76</v>
      </c>
      <c r="C506" s="488" t="s">
        <v>25</v>
      </c>
      <c r="D506" s="380" t="s">
        <v>10</v>
      </c>
      <c r="E506" s="265" t="s">
        <v>365</v>
      </c>
      <c r="F506" s="380" t="s">
        <v>9</v>
      </c>
      <c r="G506" s="282">
        <f t="shared" ref="G506:N506" si="235">G540+G593+G512+G527</f>
        <v>119130.1346</v>
      </c>
      <c r="H506" s="303">
        <f t="shared" si="235"/>
        <v>6290.8654000000006</v>
      </c>
      <c r="I506" s="282">
        <f t="shared" si="235"/>
        <v>0</v>
      </c>
      <c r="J506" s="282">
        <f t="shared" si="235"/>
        <v>109.85</v>
      </c>
      <c r="K506" s="282">
        <f t="shared" si="235"/>
        <v>23942.7</v>
      </c>
      <c r="L506" s="282">
        <f t="shared" si="235"/>
        <v>45.000000000000014</v>
      </c>
      <c r="M506" s="566">
        <f t="shared" si="235"/>
        <v>16105.68</v>
      </c>
      <c r="N506" s="566">
        <f t="shared" si="235"/>
        <v>325.00000000000034</v>
      </c>
      <c r="O506" s="567">
        <f>O540+O593+O512+O527+O507</f>
        <v>0</v>
      </c>
      <c r="P506" s="573">
        <f>P540+P593+P512+P527+P507</f>
        <v>0</v>
      </c>
      <c r="Q506" s="567">
        <f>Q540+Q593+Q512+Q527</f>
        <v>0</v>
      </c>
      <c r="R506" s="567">
        <f>R540+R593+R512+R527</f>
        <v>0</v>
      </c>
      <c r="S506" s="131">
        <f t="shared" si="226"/>
        <v>165949.23000000001</v>
      </c>
    </row>
    <row r="507" spans="1:19" s="80" customFormat="1" ht="15.6" hidden="1" x14ac:dyDescent="0.3">
      <c r="A507" s="267" t="s">
        <v>1038</v>
      </c>
      <c r="B507" s="497" t="s">
        <v>76</v>
      </c>
      <c r="C507" s="496" t="s">
        <v>25</v>
      </c>
      <c r="D507" s="497" t="s">
        <v>14</v>
      </c>
      <c r="E507" s="285" t="s">
        <v>365</v>
      </c>
      <c r="F507" s="497" t="s">
        <v>9</v>
      </c>
      <c r="G507" s="283"/>
      <c r="H507" s="304"/>
      <c r="I507" s="283"/>
      <c r="J507" s="283"/>
      <c r="K507" s="283"/>
      <c r="L507" s="283"/>
      <c r="M507" s="568"/>
      <c r="N507" s="568"/>
      <c r="O507" s="575">
        <f>O508</f>
        <v>0</v>
      </c>
      <c r="P507" s="573">
        <f>P508</f>
        <v>0</v>
      </c>
      <c r="Q507" s="569"/>
      <c r="R507" s="569"/>
      <c r="S507" s="131">
        <f t="shared" si="226"/>
        <v>0</v>
      </c>
    </row>
    <row r="508" spans="1:19" s="80" customFormat="1" ht="15.6" hidden="1" x14ac:dyDescent="0.3">
      <c r="A508" s="267" t="s">
        <v>692</v>
      </c>
      <c r="B508" s="497" t="s">
        <v>76</v>
      </c>
      <c r="C508" s="496" t="s">
        <v>25</v>
      </c>
      <c r="D508" s="497" t="s">
        <v>14</v>
      </c>
      <c r="E508" s="285" t="s">
        <v>381</v>
      </c>
      <c r="F508" s="497" t="s">
        <v>9</v>
      </c>
      <c r="G508" s="283"/>
      <c r="H508" s="304"/>
      <c r="I508" s="285"/>
      <c r="J508" s="285"/>
      <c r="K508" s="285"/>
      <c r="L508" s="285"/>
      <c r="M508" s="576"/>
      <c r="N508" s="576"/>
      <c r="O508" s="575">
        <f>O509</f>
        <v>0</v>
      </c>
      <c r="P508" s="573">
        <f>P509</f>
        <v>0</v>
      </c>
      <c r="Q508" s="569"/>
      <c r="R508" s="569"/>
      <c r="S508" s="131">
        <f t="shared" si="226"/>
        <v>0</v>
      </c>
    </row>
    <row r="509" spans="1:19" s="80" customFormat="1" ht="15.6" hidden="1" x14ac:dyDescent="0.3">
      <c r="A509" s="267" t="s">
        <v>133</v>
      </c>
      <c r="B509" s="497" t="s">
        <v>76</v>
      </c>
      <c r="C509" s="496" t="s">
        <v>25</v>
      </c>
      <c r="D509" s="497" t="s">
        <v>14</v>
      </c>
      <c r="E509" s="285" t="s">
        <v>382</v>
      </c>
      <c r="F509" s="497" t="s">
        <v>9</v>
      </c>
      <c r="G509" s="283"/>
      <c r="H509" s="304"/>
      <c r="I509" s="285"/>
      <c r="J509" s="285"/>
      <c r="K509" s="285"/>
      <c r="L509" s="285"/>
      <c r="M509" s="576"/>
      <c r="N509" s="576"/>
      <c r="O509" s="575">
        <f>O510+O511</f>
        <v>0</v>
      </c>
      <c r="P509" s="573">
        <f>P510+P511</f>
        <v>0</v>
      </c>
      <c r="Q509" s="573">
        <f>Q510+Q511</f>
        <v>0</v>
      </c>
      <c r="R509" s="573">
        <f>R510+R511</f>
        <v>0</v>
      </c>
      <c r="S509" s="131">
        <f t="shared" si="226"/>
        <v>0</v>
      </c>
    </row>
    <row r="510" spans="1:19" s="80" customFormat="1" ht="62.45" hidden="1" x14ac:dyDescent="0.3">
      <c r="A510" s="264" t="s">
        <v>115</v>
      </c>
      <c r="B510" s="380" t="s">
        <v>76</v>
      </c>
      <c r="C510" s="488" t="s">
        <v>25</v>
      </c>
      <c r="D510" s="380" t="s">
        <v>14</v>
      </c>
      <c r="E510" s="265" t="s">
        <v>382</v>
      </c>
      <c r="F510" s="380" t="s">
        <v>113</v>
      </c>
      <c r="G510" s="282"/>
      <c r="H510" s="303"/>
      <c r="I510" s="265"/>
      <c r="J510" s="265"/>
      <c r="K510" s="265"/>
      <c r="L510" s="265"/>
      <c r="M510" s="570"/>
      <c r="N510" s="570"/>
      <c r="O510" s="577"/>
      <c r="P510" s="131"/>
      <c r="Q510" s="132"/>
      <c r="R510" s="132"/>
      <c r="S510" s="131">
        <f t="shared" si="226"/>
        <v>0</v>
      </c>
    </row>
    <row r="511" spans="1:19" s="77" customFormat="1" ht="31.15" hidden="1" x14ac:dyDescent="0.3">
      <c r="A511" s="264" t="s">
        <v>843</v>
      </c>
      <c r="B511" s="380" t="s">
        <v>76</v>
      </c>
      <c r="C511" s="488" t="s">
        <v>25</v>
      </c>
      <c r="D511" s="380" t="s">
        <v>14</v>
      </c>
      <c r="E511" s="265" t="s">
        <v>382</v>
      </c>
      <c r="F511" s="380" t="s">
        <v>490</v>
      </c>
      <c r="G511" s="282"/>
      <c r="H511" s="303"/>
      <c r="I511" s="282"/>
      <c r="J511" s="282"/>
      <c r="K511" s="282"/>
      <c r="L511" s="282"/>
      <c r="M511" s="566"/>
      <c r="N511" s="566"/>
      <c r="O511" s="577"/>
      <c r="P511" s="131"/>
      <c r="Q511" s="131"/>
      <c r="R511" s="131"/>
      <c r="S511" s="131">
        <f t="shared" si="226"/>
        <v>0</v>
      </c>
    </row>
    <row r="512" spans="1:19" s="77" customFormat="1" x14ac:dyDescent="0.25">
      <c r="A512" s="267" t="s">
        <v>111</v>
      </c>
      <c r="B512" s="497" t="s">
        <v>76</v>
      </c>
      <c r="C512" s="496" t="s">
        <v>25</v>
      </c>
      <c r="D512" s="497" t="s">
        <v>58</v>
      </c>
      <c r="E512" s="285" t="s">
        <v>365</v>
      </c>
      <c r="F512" s="497" t="s">
        <v>9</v>
      </c>
      <c r="G512" s="283">
        <f t="shared" ref="G512:R512" si="236">G513</f>
        <v>367.6</v>
      </c>
      <c r="H512" s="304">
        <f t="shared" si="236"/>
        <v>0</v>
      </c>
      <c r="I512" s="283">
        <f t="shared" si="236"/>
        <v>0</v>
      </c>
      <c r="J512" s="283">
        <f t="shared" si="236"/>
        <v>0</v>
      </c>
      <c r="K512" s="283">
        <f t="shared" si="236"/>
        <v>0</v>
      </c>
      <c r="L512" s="283">
        <f t="shared" si="236"/>
        <v>0</v>
      </c>
      <c r="M512" s="568">
        <f t="shared" si="236"/>
        <v>-176.02</v>
      </c>
      <c r="N512" s="568">
        <f t="shared" si="236"/>
        <v>0</v>
      </c>
      <c r="O512" s="575">
        <f t="shared" si="236"/>
        <v>0</v>
      </c>
      <c r="P512" s="569">
        <f t="shared" si="236"/>
        <v>0</v>
      </c>
      <c r="Q512" s="569">
        <f t="shared" si="236"/>
        <v>0</v>
      </c>
      <c r="R512" s="569">
        <f t="shared" si="236"/>
        <v>0</v>
      </c>
      <c r="S512" s="132">
        <f t="shared" si="226"/>
        <v>191.58</v>
      </c>
    </row>
    <row r="513" spans="1:19" s="80" customFormat="1" ht="31.5" x14ac:dyDescent="0.25">
      <c r="A513" s="267" t="s">
        <v>787</v>
      </c>
      <c r="B513" s="497" t="s">
        <v>76</v>
      </c>
      <c r="C513" s="496" t="s">
        <v>25</v>
      </c>
      <c r="D513" s="497" t="s">
        <v>58</v>
      </c>
      <c r="E513" s="285" t="s">
        <v>495</v>
      </c>
      <c r="F513" s="497" t="s">
        <v>9</v>
      </c>
      <c r="G513" s="283">
        <f t="shared" ref="G513:R513" si="237">G514+G521+G523+G525+G519</f>
        <v>367.6</v>
      </c>
      <c r="H513" s="304">
        <f t="shared" si="237"/>
        <v>0</v>
      </c>
      <c r="I513" s="283">
        <f t="shared" si="237"/>
        <v>0</v>
      </c>
      <c r="J513" s="283">
        <f t="shared" si="237"/>
        <v>0</v>
      </c>
      <c r="K513" s="283">
        <f t="shared" si="237"/>
        <v>0</v>
      </c>
      <c r="L513" s="283">
        <f t="shared" si="237"/>
        <v>0</v>
      </c>
      <c r="M513" s="568">
        <f t="shared" si="237"/>
        <v>-176.02</v>
      </c>
      <c r="N513" s="568">
        <f t="shared" si="237"/>
        <v>0</v>
      </c>
      <c r="O513" s="575">
        <f t="shared" si="237"/>
        <v>0</v>
      </c>
      <c r="P513" s="569">
        <f t="shared" si="237"/>
        <v>0</v>
      </c>
      <c r="Q513" s="569">
        <f t="shared" si="237"/>
        <v>0</v>
      </c>
      <c r="R513" s="569">
        <f t="shared" si="237"/>
        <v>0</v>
      </c>
      <c r="S513" s="132">
        <f t="shared" si="226"/>
        <v>191.58</v>
      </c>
    </row>
    <row r="514" spans="1:19" s="77" customFormat="1" ht="46.9" hidden="1" x14ac:dyDescent="0.3">
      <c r="A514" s="267" t="s">
        <v>1110</v>
      </c>
      <c r="B514" s="497" t="s">
        <v>76</v>
      </c>
      <c r="C514" s="496" t="s">
        <v>25</v>
      </c>
      <c r="D514" s="497" t="s">
        <v>58</v>
      </c>
      <c r="E514" s="285" t="s">
        <v>496</v>
      </c>
      <c r="F514" s="497" t="s">
        <v>9</v>
      </c>
      <c r="G514" s="283">
        <f t="shared" ref="G514:R514" si="238">G515+G517</f>
        <v>0</v>
      </c>
      <c r="H514" s="304">
        <f t="shared" si="238"/>
        <v>0</v>
      </c>
      <c r="I514" s="283">
        <f t="shared" si="238"/>
        <v>0</v>
      </c>
      <c r="J514" s="283">
        <f t="shared" si="238"/>
        <v>0</v>
      </c>
      <c r="K514" s="283">
        <f t="shared" si="238"/>
        <v>0</v>
      </c>
      <c r="L514" s="283">
        <f t="shared" si="238"/>
        <v>0</v>
      </c>
      <c r="M514" s="568">
        <f t="shared" si="238"/>
        <v>0</v>
      </c>
      <c r="N514" s="568">
        <f t="shared" si="238"/>
        <v>0</v>
      </c>
      <c r="O514" s="569">
        <f t="shared" si="238"/>
        <v>0</v>
      </c>
      <c r="P514" s="569">
        <f t="shared" si="238"/>
        <v>0</v>
      </c>
      <c r="Q514" s="569">
        <f t="shared" si="238"/>
        <v>0</v>
      </c>
      <c r="R514" s="569">
        <f t="shared" si="238"/>
        <v>0</v>
      </c>
      <c r="S514" s="132">
        <f t="shared" si="226"/>
        <v>0</v>
      </c>
    </row>
    <row r="515" spans="1:19" s="77" customFormat="1" ht="93.6" hidden="1" x14ac:dyDescent="0.3">
      <c r="A515" s="267" t="s">
        <v>506</v>
      </c>
      <c r="B515" s="497" t="s">
        <v>76</v>
      </c>
      <c r="C515" s="496" t="s">
        <v>25</v>
      </c>
      <c r="D515" s="497" t="s">
        <v>58</v>
      </c>
      <c r="E515" s="285" t="s">
        <v>498</v>
      </c>
      <c r="F515" s="497" t="s">
        <v>9</v>
      </c>
      <c r="G515" s="283">
        <f t="shared" ref="G515:R515" si="239">G516</f>
        <v>0</v>
      </c>
      <c r="H515" s="304">
        <f t="shared" si="239"/>
        <v>0</v>
      </c>
      <c r="I515" s="283">
        <f t="shared" si="239"/>
        <v>0</v>
      </c>
      <c r="J515" s="283">
        <f t="shared" si="239"/>
        <v>0</v>
      </c>
      <c r="K515" s="283">
        <f t="shared" si="239"/>
        <v>0</v>
      </c>
      <c r="L515" s="283">
        <f t="shared" si="239"/>
        <v>0</v>
      </c>
      <c r="M515" s="568">
        <f t="shared" si="239"/>
        <v>0</v>
      </c>
      <c r="N515" s="568">
        <f t="shared" si="239"/>
        <v>0</v>
      </c>
      <c r="O515" s="569">
        <f t="shared" si="239"/>
        <v>0</v>
      </c>
      <c r="P515" s="569">
        <f t="shared" si="239"/>
        <v>0</v>
      </c>
      <c r="Q515" s="569">
        <f t="shared" si="239"/>
        <v>0</v>
      </c>
      <c r="R515" s="569">
        <f t="shared" si="239"/>
        <v>0</v>
      </c>
      <c r="S515" s="132">
        <f t="shared" si="226"/>
        <v>0</v>
      </c>
    </row>
    <row r="516" spans="1:19" s="77" customFormat="1" ht="31.15" hidden="1" x14ac:dyDescent="0.3">
      <c r="A516" s="264" t="s">
        <v>124</v>
      </c>
      <c r="B516" s="380" t="s">
        <v>76</v>
      </c>
      <c r="C516" s="488" t="s">
        <v>25</v>
      </c>
      <c r="D516" s="380" t="s">
        <v>58</v>
      </c>
      <c r="E516" s="265" t="s">
        <v>498</v>
      </c>
      <c r="F516" s="380" t="s">
        <v>117</v>
      </c>
      <c r="G516" s="282"/>
      <c r="H516" s="303"/>
      <c r="I516" s="265"/>
      <c r="J516" s="265"/>
      <c r="K516" s="265"/>
      <c r="L516" s="265"/>
      <c r="M516" s="570"/>
      <c r="N516" s="570"/>
      <c r="O516" s="571"/>
      <c r="P516" s="571"/>
      <c r="Q516" s="571"/>
      <c r="R516" s="571"/>
      <c r="S516" s="131">
        <f t="shared" si="226"/>
        <v>0</v>
      </c>
    </row>
    <row r="517" spans="1:19" s="77" customFormat="1" ht="46.9" hidden="1" x14ac:dyDescent="0.3">
      <c r="A517" s="267" t="s">
        <v>845</v>
      </c>
      <c r="B517" s="497" t="s">
        <v>76</v>
      </c>
      <c r="C517" s="496" t="s">
        <v>25</v>
      </c>
      <c r="D517" s="497" t="s">
        <v>58</v>
      </c>
      <c r="E517" s="285" t="s">
        <v>499</v>
      </c>
      <c r="F517" s="497" t="s">
        <v>9</v>
      </c>
      <c r="G517" s="283">
        <f t="shared" ref="G517:R517" si="240">G518</f>
        <v>0</v>
      </c>
      <c r="H517" s="304">
        <f t="shared" si="240"/>
        <v>0</v>
      </c>
      <c r="I517" s="283">
        <f t="shared" si="240"/>
        <v>0</v>
      </c>
      <c r="J517" s="283">
        <f t="shared" si="240"/>
        <v>0</v>
      </c>
      <c r="K517" s="283">
        <f t="shared" si="240"/>
        <v>0</v>
      </c>
      <c r="L517" s="283">
        <f t="shared" si="240"/>
        <v>0</v>
      </c>
      <c r="M517" s="568">
        <f t="shared" si="240"/>
        <v>0</v>
      </c>
      <c r="N517" s="568">
        <f t="shared" si="240"/>
        <v>0</v>
      </c>
      <c r="O517" s="569">
        <f t="shared" si="240"/>
        <v>0</v>
      </c>
      <c r="P517" s="569">
        <f t="shared" si="240"/>
        <v>0</v>
      </c>
      <c r="Q517" s="569">
        <f t="shared" si="240"/>
        <v>0</v>
      </c>
      <c r="R517" s="569">
        <f t="shared" si="240"/>
        <v>0</v>
      </c>
      <c r="S517" s="132">
        <f t="shared" si="226"/>
        <v>0</v>
      </c>
    </row>
    <row r="518" spans="1:19" s="77" customFormat="1" ht="31.15" hidden="1" x14ac:dyDescent="0.3">
      <c r="A518" s="264" t="s">
        <v>124</v>
      </c>
      <c r="B518" s="380" t="s">
        <v>76</v>
      </c>
      <c r="C518" s="488" t="s">
        <v>25</v>
      </c>
      <c r="D518" s="380" t="s">
        <v>58</v>
      </c>
      <c r="E518" s="265" t="s">
        <v>499</v>
      </c>
      <c r="F518" s="380" t="s">
        <v>117</v>
      </c>
      <c r="G518" s="282"/>
      <c r="H518" s="303"/>
      <c r="I518" s="393"/>
      <c r="J518" s="265"/>
      <c r="K518" s="265"/>
      <c r="L518" s="265"/>
      <c r="M518" s="570"/>
      <c r="N518" s="570"/>
      <c r="O518" s="571"/>
      <c r="P518" s="571"/>
      <c r="Q518" s="571"/>
      <c r="R518" s="571"/>
      <c r="S518" s="131">
        <f t="shared" si="226"/>
        <v>0</v>
      </c>
    </row>
    <row r="519" spans="1:19" s="80" customFormat="1" ht="31.15" hidden="1" x14ac:dyDescent="0.3">
      <c r="A519" s="267" t="s">
        <v>710</v>
      </c>
      <c r="B519" s="497" t="s">
        <v>76</v>
      </c>
      <c r="C519" s="496" t="s">
        <v>25</v>
      </c>
      <c r="D519" s="497" t="s">
        <v>58</v>
      </c>
      <c r="E519" s="285" t="s">
        <v>706</v>
      </c>
      <c r="F519" s="497" t="s">
        <v>9</v>
      </c>
      <c r="G519" s="283">
        <f t="shared" ref="G519:R519" si="241">G520</f>
        <v>0</v>
      </c>
      <c r="H519" s="304">
        <f t="shared" si="241"/>
        <v>0</v>
      </c>
      <c r="I519" s="283">
        <f t="shared" si="241"/>
        <v>0</v>
      </c>
      <c r="J519" s="283">
        <f t="shared" si="241"/>
        <v>0</v>
      </c>
      <c r="K519" s="283">
        <f t="shared" si="241"/>
        <v>0</v>
      </c>
      <c r="L519" s="283">
        <f t="shared" si="241"/>
        <v>0</v>
      </c>
      <c r="M519" s="568">
        <f t="shared" si="241"/>
        <v>0</v>
      </c>
      <c r="N519" s="568">
        <f t="shared" si="241"/>
        <v>0</v>
      </c>
      <c r="O519" s="569">
        <f t="shared" si="241"/>
        <v>0</v>
      </c>
      <c r="P519" s="569">
        <f t="shared" si="241"/>
        <v>0</v>
      </c>
      <c r="Q519" s="569">
        <f t="shared" si="241"/>
        <v>0</v>
      </c>
      <c r="R519" s="569">
        <f t="shared" si="241"/>
        <v>0</v>
      </c>
      <c r="S519" s="132">
        <f t="shared" si="226"/>
        <v>0</v>
      </c>
    </row>
    <row r="520" spans="1:19" s="80" customFormat="1" ht="15.6" hidden="1" x14ac:dyDescent="0.3">
      <c r="A520" s="264" t="s">
        <v>116</v>
      </c>
      <c r="B520" s="380" t="s">
        <v>76</v>
      </c>
      <c r="C520" s="488" t="s">
        <v>25</v>
      </c>
      <c r="D520" s="380" t="s">
        <v>58</v>
      </c>
      <c r="E520" s="265" t="s">
        <v>706</v>
      </c>
      <c r="F520" s="380" t="s">
        <v>114</v>
      </c>
      <c r="G520" s="282"/>
      <c r="H520" s="303"/>
      <c r="I520" s="265"/>
      <c r="J520" s="282"/>
      <c r="K520" s="265"/>
      <c r="L520" s="265"/>
      <c r="M520" s="570"/>
      <c r="N520" s="570"/>
      <c r="O520" s="571"/>
      <c r="P520" s="571"/>
      <c r="Q520" s="571"/>
      <c r="R520" s="571"/>
      <c r="S520" s="131">
        <f t="shared" si="226"/>
        <v>0</v>
      </c>
    </row>
    <row r="521" spans="1:19" s="80" customFormat="1" ht="31.5" x14ac:dyDescent="0.25">
      <c r="A521" s="267" t="s">
        <v>1077</v>
      </c>
      <c r="B521" s="497" t="s">
        <v>76</v>
      </c>
      <c r="C521" s="496" t="s">
        <v>25</v>
      </c>
      <c r="D521" s="497" t="s">
        <v>58</v>
      </c>
      <c r="E521" s="285" t="s">
        <v>678</v>
      </c>
      <c r="F521" s="497" t="s">
        <v>9</v>
      </c>
      <c r="G521" s="283">
        <f t="shared" ref="G521:R521" si="242">G522</f>
        <v>89.1</v>
      </c>
      <c r="H521" s="304">
        <f t="shared" si="242"/>
        <v>0</v>
      </c>
      <c r="I521" s="283">
        <f t="shared" si="242"/>
        <v>0</v>
      </c>
      <c r="J521" s="283">
        <f t="shared" si="242"/>
        <v>0</v>
      </c>
      <c r="K521" s="283">
        <f t="shared" si="242"/>
        <v>0</v>
      </c>
      <c r="L521" s="283">
        <f t="shared" si="242"/>
        <v>0</v>
      </c>
      <c r="M521" s="568">
        <f t="shared" si="242"/>
        <v>-43.18</v>
      </c>
      <c r="N521" s="568">
        <f t="shared" si="242"/>
        <v>0</v>
      </c>
      <c r="O521" s="569">
        <f t="shared" si="242"/>
        <v>0</v>
      </c>
      <c r="P521" s="569">
        <f t="shared" si="242"/>
        <v>0</v>
      </c>
      <c r="Q521" s="569">
        <f t="shared" si="242"/>
        <v>0</v>
      </c>
      <c r="R521" s="569">
        <f t="shared" si="242"/>
        <v>0</v>
      </c>
      <c r="S521" s="132">
        <f t="shared" si="226"/>
        <v>45.919999999999995</v>
      </c>
    </row>
    <row r="522" spans="1:19" s="80" customFormat="1" x14ac:dyDescent="0.25">
      <c r="A522" s="264" t="s">
        <v>116</v>
      </c>
      <c r="B522" s="380" t="s">
        <v>76</v>
      </c>
      <c r="C522" s="488" t="s">
        <v>25</v>
      </c>
      <c r="D522" s="380" t="s">
        <v>58</v>
      </c>
      <c r="E522" s="265" t="s">
        <v>678</v>
      </c>
      <c r="F522" s="380" t="s">
        <v>114</v>
      </c>
      <c r="G522" s="300">
        <v>89.1</v>
      </c>
      <c r="H522" s="303"/>
      <c r="I522" s="265"/>
      <c r="J522" s="282"/>
      <c r="K522" s="265"/>
      <c r="L522" s="265"/>
      <c r="M522" s="610">
        <v>-43.18</v>
      </c>
      <c r="N522" s="570"/>
      <c r="O522" s="571"/>
      <c r="P522" s="571"/>
      <c r="Q522" s="571"/>
      <c r="R522" s="571"/>
      <c r="S522" s="566">
        <f t="shared" si="226"/>
        <v>45.919999999999995</v>
      </c>
    </row>
    <row r="523" spans="1:19" s="77" customFormat="1" ht="31.15" hidden="1" x14ac:dyDescent="0.3">
      <c r="A523" s="267" t="s">
        <v>710</v>
      </c>
      <c r="B523" s="497" t="s">
        <v>76</v>
      </c>
      <c r="C523" s="496" t="s">
        <v>25</v>
      </c>
      <c r="D523" s="497" t="s">
        <v>58</v>
      </c>
      <c r="E523" s="285" t="s">
        <v>844</v>
      </c>
      <c r="F523" s="497" t="s">
        <v>9</v>
      </c>
      <c r="G523" s="283">
        <f t="shared" ref="G523:R523" si="243">G524</f>
        <v>0</v>
      </c>
      <c r="H523" s="304">
        <f t="shared" si="243"/>
        <v>0</v>
      </c>
      <c r="I523" s="283">
        <f t="shared" si="243"/>
        <v>0</v>
      </c>
      <c r="J523" s="283">
        <f t="shared" si="243"/>
        <v>0</v>
      </c>
      <c r="K523" s="283">
        <f t="shared" si="243"/>
        <v>0</v>
      </c>
      <c r="L523" s="283">
        <f t="shared" si="243"/>
        <v>0</v>
      </c>
      <c r="M523" s="568">
        <f t="shared" si="243"/>
        <v>0</v>
      </c>
      <c r="N523" s="568">
        <f t="shared" si="243"/>
        <v>0</v>
      </c>
      <c r="O523" s="569">
        <f t="shared" si="243"/>
        <v>0</v>
      </c>
      <c r="P523" s="569">
        <f t="shared" si="243"/>
        <v>0</v>
      </c>
      <c r="Q523" s="569">
        <f t="shared" si="243"/>
        <v>0</v>
      </c>
      <c r="R523" s="569">
        <f t="shared" si="243"/>
        <v>0</v>
      </c>
      <c r="S523" s="132">
        <f t="shared" si="226"/>
        <v>0</v>
      </c>
    </row>
    <row r="524" spans="1:19" s="80" customFormat="1" ht="15.6" hidden="1" x14ac:dyDescent="0.3">
      <c r="A524" s="264" t="s">
        <v>116</v>
      </c>
      <c r="B524" s="380" t="s">
        <v>76</v>
      </c>
      <c r="C524" s="488" t="s">
        <v>25</v>
      </c>
      <c r="D524" s="380" t="s">
        <v>58</v>
      </c>
      <c r="E524" s="265" t="s">
        <v>844</v>
      </c>
      <c r="F524" s="380" t="s">
        <v>114</v>
      </c>
      <c r="G524" s="282"/>
      <c r="H524" s="303"/>
      <c r="I524" s="265"/>
      <c r="J524" s="265"/>
      <c r="K524" s="265"/>
      <c r="L524" s="265"/>
      <c r="M524" s="570"/>
      <c r="N524" s="570"/>
      <c r="O524" s="571"/>
      <c r="P524" s="571"/>
      <c r="Q524" s="571"/>
      <c r="R524" s="571"/>
      <c r="S524" s="131">
        <f t="shared" si="226"/>
        <v>0</v>
      </c>
    </row>
    <row r="525" spans="1:19" s="80" customFormat="1" ht="31.5" x14ac:dyDescent="0.25">
      <c r="A525" s="267" t="s">
        <v>1077</v>
      </c>
      <c r="B525" s="497" t="s">
        <v>76</v>
      </c>
      <c r="C525" s="496" t="s">
        <v>25</v>
      </c>
      <c r="D525" s="497" t="s">
        <v>58</v>
      </c>
      <c r="E525" s="285" t="s">
        <v>679</v>
      </c>
      <c r="F525" s="497" t="s">
        <v>9</v>
      </c>
      <c r="G525" s="283">
        <f t="shared" ref="G525:R525" si="244">G526</f>
        <v>278.5</v>
      </c>
      <c r="H525" s="304">
        <f t="shared" si="244"/>
        <v>0</v>
      </c>
      <c r="I525" s="283">
        <f t="shared" si="244"/>
        <v>0</v>
      </c>
      <c r="J525" s="283">
        <f t="shared" si="244"/>
        <v>0</v>
      </c>
      <c r="K525" s="283">
        <f t="shared" si="244"/>
        <v>0</v>
      </c>
      <c r="L525" s="283">
        <f t="shared" si="244"/>
        <v>0</v>
      </c>
      <c r="M525" s="568">
        <f t="shared" si="244"/>
        <v>-132.84</v>
      </c>
      <c r="N525" s="568">
        <f t="shared" si="244"/>
        <v>0</v>
      </c>
      <c r="O525" s="569">
        <f t="shared" si="244"/>
        <v>0</v>
      </c>
      <c r="P525" s="569">
        <f t="shared" si="244"/>
        <v>0</v>
      </c>
      <c r="Q525" s="569">
        <f t="shared" si="244"/>
        <v>0</v>
      </c>
      <c r="R525" s="569">
        <f t="shared" si="244"/>
        <v>0</v>
      </c>
      <c r="S525" s="132">
        <f t="shared" si="226"/>
        <v>145.66</v>
      </c>
    </row>
    <row r="526" spans="1:19" s="80" customFormat="1" x14ac:dyDescent="0.25">
      <c r="A526" s="264" t="s">
        <v>116</v>
      </c>
      <c r="B526" s="380" t="s">
        <v>76</v>
      </c>
      <c r="C526" s="488" t="s">
        <v>25</v>
      </c>
      <c r="D526" s="380" t="s">
        <v>58</v>
      </c>
      <c r="E526" s="265" t="s">
        <v>679</v>
      </c>
      <c r="F526" s="380" t="s">
        <v>114</v>
      </c>
      <c r="G526" s="300">
        <v>278.5</v>
      </c>
      <c r="H526" s="303"/>
      <c r="I526" s="265"/>
      <c r="J526" s="282"/>
      <c r="K526" s="265"/>
      <c r="L526" s="265"/>
      <c r="M526" s="610">
        <v>-132.84</v>
      </c>
      <c r="N526" s="570"/>
      <c r="O526" s="571"/>
      <c r="P526" s="571"/>
      <c r="Q526" s="571"/>
      <c r="R526" s="571"/>
      <c r="S526" s="566">
        <f t="shared" si="226"/>
        <v>145.66</v>
      </c>
    </row>
    <row r="527" spans="1:19" s="80" customFormat="1" x14ac:dyDescent="0.25">
      <c r="A527" s="267" t="s">
        <v>518</v>
      </c>
      <c r="B527" s="497" t="s">
        <v>76</v>
      </c>
      <c r="C527" s="496" t="s">
        <v>25</v>
      </c>
      <c r="D527" s="497" t="s">
        <v>12</v>
      </c>
      <c r="E527" s="285" t="s">
        <v>365</v>
      </c>
      <c r="F527" s="497" t="s">
        <v>9</v>
      </c>
      <c r="G527" s="283">
        <f t="shared" ref="G527:K528" si="245">G528</f>
        <v>0</v>
      </c>
      <c r="H527" s="304">
        <f t="shared" si="245"/>
        <v>3600</v>
      </c>
      <c r="I527" s="283">
        <f t="shared" si="245"/>
        <v>0</v>
      </c>
      <c r="J527" s="283">
        <f t="shared" si="245"/>
        <v>0</v>
      </c>
      <c r="K527" s="283">
        <f t="shared" si="245"/>
        <v>0</v>
      </c>
      <c r="L527" s="283">
        <f>L528+L537</f>
        <v>30</v>
      </c>
      <c r="M527" s="568">
        <f>M528</f>
        <v>65</v>
      </c>
      <c r="N527" s="568">
        <f>N528+N537</f>
        <v>0</v>
      </c>
      <c r="O527" s="569">
        <f t="shared" ref="O527:R528" si="246">O528</f>
        <v>0</v>
      </c>
      <c r="P527" s="569">
        <f t="shared" si="246"/>
        <v>0</v>
      </c>
      <c r="Q527" s="569">
        <f t="shared" si="246"/>
        <v>0</v>
      </c>
      <c r="R527" s="569">
        <f t="shared" si="246"/>
        <v>0</v>
      </c>
      <c r="S527" s="132">
        <f t="shared" si="226"/>
        <v>3695</v>
      </c>
    </row>
    <row r="528" spans="1:19" s="80" customFormat="1" ht="31.5" x14ac:dyDescent="0.25">
      <c r="A528" s="267" t="s">
        <v>784</v>
      </c>
      <c r="B528" s="497" t="s">
        <v>76</v>
      </c>
      <c r="C528" s="496" t="s">
        <v>25</v>
      </c>
      <c r="D528" s="497" t="s">
        <v>12</v>
      </c>
      <c r="E528" s="285" t="s">
        <v>380</v>
      </c>
      <c r="F528" s="497" t="s">
        <v>9</v>
      </c>
      <c r="G528" s="283">
        <f t="shared" si="245"/>
        <v>0</v>
      </c>
      <c r="H528" s="304">
        <f t="shared" si="245"/>
        <v>3600</v>
      </c>
      <c r="I528" s="283">
        <f t="shared" si="245"/>
        <v>0</v>
      </c>
      <c r="J528" s="283">
        <f t="shared" si="245"/>
        <v>0</v>
      </c>
      <c r="K528" s="283">
        <f t="shared" si="245"/>
        <v>0</v>
      </c>
      <c r="L528" s="283">
        <f>L529</f>
        <v>30</v>
      </c>
      <c r="M528" s="568">
        <f>M529</f>
        <v>65</v>
      </c>
      <c r="N528" s="568">
        <f>N529</f>
        <v>0</v>
      </c>
      <c r="O528" s="569">
        <f t="shared" si="246"/>
        <v>0</v>
      </c>
      <c r="P528" s="569">
        <f t="shared" si="246"/>
        <v>0</v>
      </c>
      <c r="Q528" s="569">
        <f t="shared" si="246"/>
        <v>0</v>
      </c>
      <c r="R528" s="569">
        <f t="shared" si="246"/>
        <v>0</v>
      </c>
      <c r="S528" s="132">
        <f t="shared" si="226"/>
        <v>3695</v>
      </c>
    </row>
    <row r="529" spans="1:21" s="77" customFormat="1" x14ac:dyDescent="0.25">
      <c r="A529" s="267" t="s">
        <v>692</v>
      </c>
      <c r="B529" s="497" t="s">
        <v>76</v>
      </c>
      <c r="C529" s="496" t="s">
        <v>25</v>
      </c>
      <c r="D529" s="497" t="s">
        <v>12</v>
      </c>
      <c r="E529" s="285" t="s">
        <v>381</v>
      </c>
      <c r="F529" s="497" t="s">
        <v>9</v>
      </c>
      <c r="G529" s="283">
        <f t="shared" ref="G529:L529" si="247">G534+G530</f>
        <v>0</v>
      </c>
      <c r="H529" s="304">
        <f t="shared" si="247"/>
        <v>3600</v>
      </c>
      <c r="I529" s="283">
        <f t="shared" si="247"/>
        <v>0</v>
      </c>
      <c r="J529" s="283">
        <f t="shared" si="247"/>
        <v>0</v>
      </c>
      <c r="K529" s="283">
        <f t="shared" si="247"/>
        <v>0</v>
      </c>
      <c r="L529" s="283">
        <f t="shared" si="247"/>
        <v>30</v>
      </c>
      <c r="M529" s="568">
        <f>M534+M530+M532</f>
        <v>65</v>
      </c>
      <c r="N529" s="568">
        <f>N534</f>
        <v>0</v>
      </c>
      <c r="O529" s="569">
        <f>O534</f>
        <v>0</v>
      </c>
      <c r="P529" s="569">
        <f>P534</f>
        <v>0</v>
      </c>
      <c r="Q529" s="569">
        <f>Q534</f>
        <v>0</v>
      </c>
      <c r="R529" s="569">
        <f>R534</f>
        <v>0</v>
      </c>
      <c r="S529" s="132">
        <f t="shared" si="226"/>
        <v>3695</v>
      </c>
    </row>
    <row r="530" spans="1:21" s="77" customFormat="1" ht="78" hidden="1" x14ac:dyDescent="0.3">
      <c r="A530" s="267" t="s">
        <v>1048</v>
      </c>
      <c r="B530" s="497" t="s">
        <v>76</v>
      </c>
      <c r="C530" s="496" t="s">
        <v>25</v>
      </c>
      <c r="D530" s="497" t="s">
        <v>12</v>
      </c>
      <c r="E530" s="285" t="s">
        <v>1049</v>
      </c>
      <c r="F530" s="497" t="s">
        <v>9</v>
      </c>
      <c r="G530" s="283"/>
      <c r="H530" s="304"/>
      <c r="I530" s="283"/>
      <c r="J530" s="283"/>
      <c r="K530" s="283"/>
      <c r="L530" s="283">
        <f t="shared" ref="L530:R530" si="248">L531</f>
        <v>0</v>
      </c>
      <c r="M530" s="568">
        <f t="shared" si="248"/>
        <v>0</v>
      </c>
      <c r="N530" s="568">
        <f t="shared" si="248"/>
        <v>0</v>
      </c>
      <c r="O530" s="569">
        <f t="shared" si="248"/>
        <v>0</v>
      </c>
      <c r="P530" s="569">
        <f t="shared" si="248"/>
        <v>0</v>
      </c>
      <c r="Q530" s="569">
        <f t="shared" si="248"/>
        <v>0</v>
      </c>
      <c r="R530" s="569">
        <f t="shared" si="248"/>
        <v>0</v>
      </c>
      <c r="S530" s="132">
        <f t="shared" si="226"/>
        <v>0</v>
      </c>
    </row>
    <row r="531" spans="1:21" s="77" customFormat="1" ht="15.6" hidden="1" x14ac:dyDescent="0.3">
      <c r="A531" s="264" t="s">
        <v>116</v>
      </c>
      <c r="B531" s="380" t="s">
        <v>76</v>
      </c>
      <c r="C531" s="488" t="s">
        <v>25</v>
      </c>
      <c r="D531" s="380" t="s">
        <v>12</v>
      </c>
      <c r="E531" s="265" t="s">
        <v>1049</v>
      </c>
      <c r="F531" s="380" t="s">
        <v>114</v>
      </c>
      <c r="G531" s="282"/>
      <c r="H531" s="304"/>
      <c r="I531" s="283"/>
      <c r="J531" s="283"/>
      <c r="K531" s="282"/>
      <c r="L531" s="282"/>
      <c r="M531" s="566"/>
      <c r="N531" s="568"/>
      <c r="O531" s="132"/>
      <c r="P531" s="132"/>
      <c r="Q531" s="132"/>
      <c r="R531" s="132"/>
      <c r="S531" s="131">
        <f t="shared" si="226"/>
        <v>0</v>
      </c>
    </row>
    <row r="532" spans="1:21" s="77" customFormat="1" ht="78" hidden="1" x14ac:dyDescent="0.3">
      <c r="A532" s="267" t="s">
        <v>1048</v>
      </c>
      <c r="B532" s="497" t="s">
        <v>76</v>
      </c>
      <c r="C532" s="496" t="s">
        <v>25</v>
      </c>
      <c r="D532" s="497" t="s">
        <v>12</v>
      </c>
      <c r="E532" s="285" t="s">
        <v>1050</v>
      </c>
      <c r="F532" s="497" t="s">
        <v>9</v>
      </c>
      <c r="G532" s="283"/>
      <c r="H532" s="304"/>
      <c r="I532" s="283"/>
      <c r="J532" s="283"/>
      <c r="K532" s="283"/>
      <c r="L532" s="283"/>
      <c r="M532" s="568">
        <f>M533</f>
        <v>0</v>
      </c>
      <c r="N532" s="568"/>
      <c r="O532" s="569"/>
      <c r="P532" s="569"/>
      <c r="Q532" s="569"/>
      <c r="R532" s="569"/>
      <c r="S532" s="132">
        <f t="shared" si="226"/>
        <v>0</v>
      </c>
    </row>
    <row r="533" spans="1:21" s="77" customFormat="1" ht="15.6" hidden="1" x14ac:dyDescent="0.3">
      <c r="A533" s="264" t="s">
        <v>116</v>
      </c>
      <c r="B533" s="380" t="s">
        <v>76</v>
      </c>
      <c r="C533" s="488" t="s">
        <v>25</v>
      </c>
      <c r="D533" s="380" t="s">
        <v>12</v>
      </c>
      <c r="E533" s="265" t="s">
        <v>1050</v>
      </c>
      <c r="F533" s="380" t="s">
        <v>114</v>
      </c>
      <c r="G533" s="282"/>
      <c r="H533" s="304"/>
      <c r="I533" s="283"/>
      <c r="J533" s="283"/>
      <c r="K533" s="282"/>
      <c r="L533" s="282"/>
      <c r="M533" s="566"/>
      <c r="N533" s="568"/>
      <c r="O533" s="132"/>
      <c r="P533" s="132"/>
      <c r="Q533" s="132"/>
      <c r="R533" s="132"/>
      <c r="S533" s="131">
        <f t="shared" si="226"/>
        <v>0</v>
      </c>
    </row>
    <row r="534" spans="1:21" s="80" customFormat="1" ht="31.5" x14ac:dyDescent="0.25">
      <c r="A534" s="267" t="s">
        <v>519</v>
      </c>
      <c r="B534" s="497" t="s">
        <v>76</v>
      </c>
      <c r="C534" s="496" t="s">
        <v>25</v>
      </c>
      <c r="D534" s="497" t="s">
        <v>12</v>
      </c>
      <c r="E534" s="285" t="s">
        <v>517</v>
      </c>
      <c r="F534" s="497" t="s">
        <v>9</v>
      </c>
      <c r="G534" s="283">
        <f t="shared" ref="G534:R534" si="249">G536+G535</f>
        <v>0</v>
      </c>
      <c r="H534" s="304">
        <f t="shared" si="249"/>
        <v>3600</v>
      </c>
      <c r="I534" s="283">
        <f t="shared" si="249"/>
        <v>0</v>
      </c>
      <c r="J534" s="283">
        <f t="shared" si="249"/>
        <v>0</v>
      </c>
      <c r="K534" s="283">
        <f t="shared" si="249"/>
        <v>0</v>
      </c>
      <c r="L534" s="283">
        <f t="shared" si="249"/>
        <v>30</v>
      </c>
      <c r="M534" s="568">
        <f t="shared" si="249"/>
        <v>65</v>
      </c>
      <c r="N534" s="568">
        <f t="shared" si="249"/>
        <v>0</v>
      </c>
      <c r="O534" s="569">
        <f t="shared" si="249"/>
        <v>0</v>
      </c>
      <c r="P534" s="569">
        <f t="shared" si="249"/>
        <v>0</v>
      </c>
      <c r="Q534" s="569">
        <f t="shared" si="249"/>
        <v>0</v>
      </c>
      <c r="R534" s="569">
        <f t="shared" si="249"/>
        <v>0</v>
      </c>
      <c r="S534" s="132">
        <f t="shared" si="226"/>
        <v>3695</v>
      </c>
    </row>
    <row r="535" spans="1:21" s="80" customFormat="1" ht="31.5" x14ac:dyDescent="0.25">
      <c r="A535" s="264" t="s">
        <v>124</v>
      </c>
      <c r="B535" s="380" t="s">
        <v>76</v>
      </c>
      <c r="C535" s="488" t="s">
        <v>25</v>
      </c>
      <c r="D535" s="380" t="s">
        <v>12</v>
      </c>
      <c r="E535" s="265" t="s">
        <v>517</v>
      </c>
      <c r="F535" s="380" t="s">
        <v>117</v>
      </c>
      <c r="G535" s="282"/>
      <c r="H535" s="303">
        <v>3600</v>
      </c>
      <c r="I535" s="282"/>
      <c r="J535" s="282"/>
      <c r="K535" s="282"/>
      <c r="L535" s="282">
        <v>30</v>
      </c>
      <c r="M535" s="578">
        <v>-30</v>
      </c>
      <c r="N535" s="566"/>
      <c r="O535" s="131"/>
      <c r="P535" s="131"/>
      <c r="Q535" s="131"/>
      <c r="R535" s="131"/>
      <c r="S535" s="566">
        <f t="shared" si="226"/>
        <v>3600</v>
      </c>
    </row>
    <row r="536" spans="1:21" s="77" customFormat="1" x14ac:dyDescent="0.25">
      <c r="A536" s="266" t="s">
        <v>116</v>
      </c>
      <c r="B536" s="380" t="s">
        <v>76</v>
      </c>
      <c r="C536" s="488" t="s">
        <v>25</v>
      </c>
      <c r="D536" s="380" t="s">
        <v>12</v>
      </c>
      <c r="E536" s="265" t="s">
        <v>517</v>
      </c>
      <c r="F536" s="380">
        <v>800</v>
      </c>
      <c r="G536" s="282"/>
      <c r="H536" s="303"/>
      <c r="I536" s="265"/>
      <c r="J536" s="265"/>
      <c r="K536" s="265"/>
      <c r="L536" s="265"/>
      <c r="M536" s="579">
        <f>65+30</f>
        <v>95</v>
      </c>
      <c r="N536" s="570"/>
      <c r="O536" s="571"/>
      <c r="P536" s="571"/>
      <c r="Q536" s="571"/>
      <c r="R536" s="571"/>
      <c r="S536" s="566">
        <f t="shared" si="226"/>
        <v>95</v>
      </c>
    </row>
    <row r="537" spans="1:21" s="80" customFormat="1" ht="15.6" hidden="1" x14ac:dyDescent="0.3">
      <c r="A537" s="287" t="s">
        <v>103</v>
      </c>
      <c r="B537" s="497" t="s">
        <v>76</v>
      </c>
      <c r="C537" s="496" t="s">
        <v>25</v>
      </c>
      <c r="D537" s="497" t="s">
        <v>12</v>
      </c>
      <c r="E537" s="285" t="s">
        <v>459</v>
      </c>
      <c r="F537" s="497" t="s">
        <v>9</v>
      </c>
      <c r="G537" s="283"/>
      <c r="H537" s="304"/>
      <c r="I537" s="285"/>
      <c r="J537" s="285"/>
      <c r="K537" s="285"/>
      <c r="L537" s="285">
        <f t="shared" ref="L537:N538" si="250">L538</f>
        <v>0</v>
      </c>
      <c r="M537" s="576">
        <f t="shared" si="250"/>
        <v>0</v>
      </c>
      <c r="N537" s="576">
        <f t="shared" si="250"/>
        <v>0</v>
      </c>
      <c r="O537" s="573"/>
      <c r="P537" s="573"/>
      <c r="Q537" s="573"/>
      <c r="R537" s="573"/>
      <c r="S537" s="132">
        <f t="shared" si="226"/>
        <v>0</v>
      </c>
      <c r="T537" s="77"/>
      <c r="U537" s="77"/>
    </row>
    <row r="538" spans="1:21" s="80" customFormat="1" ht="46.9" hidden="1" x14ac:dyDescent="0.3">
      <c r="A538" s="288" t="s">
        <v>1051</v>
      </c>
      <c r="B538" s="497" t="s">
        <v>76</v>
      </c>
      <c r="C538" s="496" t="s">
        <v>25</v>
      </c>
      <c r="D538" s="497" t="s">
        <v>12</v>
      </c>
      <c r="E538" s="285" t="s">
        <v>1052</v>
      </c>
      <c r="F538" s="497" t="s">
        <v>9</v>
      </c>
      <c r="G538" s="283"/>
      <c r="H538" s="304"/>
      <c r="I538" s="285"/>
      <c r="J538" s="285"/>
      <c r="K538" s="285"/>
      <c r="L538" s="285">
        <f t="shared" si="250"/>
        <v>0</v>
      </c>
      <c r="M538" s="576">
        <f t="shared" si="250"/>
        <v>0</v>
      </c>
      <c r="N538" s="576">
        <f t="shared" si="250"/>
        <v>0</v>
      </c>
      <c r="O538" s="573"/>
      <c r="P538" s="573"/>
      <c r="Q538" s="573"/>
      <c r="R538" s="573"/>
      <c r="S538" s="132">
        <f t="shared" si="226"/>
        <v>0</v>
      </c>
      <c r="T538" s="77"/>
      <c r="U538" s="77"/>
    </row>
    <row r="539" spans="1:21" s="77" customFormat="1" ht="15.6" hidden="1" x14ac:dyDescent="0.3">
      <c r="A539" s="266" t="s">
        <v>116</v>
      </c>
      <c r="B539" s="380" t="s">
        <v>76</v>
      </c>
      <c r="C539" s="488" t="s">
        <v>25</v>
      </c>
      <c r="D539" s="380" t="s">
        <v>12</v>
      </c>
      <c r="E539" s="265" t="s">
        <v>1052</v>
      </c>
      <c r="F539" s="380">
        <v>800</v>
      </c>
      <c r="G539" s="282"/>
      <c r="H539" s="303"/>
      <c r="I539" s="265"/>
      <c r="J539" s="265"/>
      <c r="K539" s="265"/>
      <c r="L539" s="265"/>
      <c r="M539" s="570"/>
      <c r="N539" s="570"/>
      <c r="O539" s="571"/>
      <c r="P539" s="571"/>
      <c r="Q539" s="571"/>
      <c r="R539" s="571"/>
      <c r="S539" s="131">
        <f t="shared" si="226"/>
        <v>0</v>
      </c>
    </row>
    <row r="540" spans="1:21" s="80" customFormat="1" x14ac:dyDescent="0.25">
      <c r="A540" s="267" t="s">
        <v>85</v>
      </c>
      <c r="B540" s="497" t="s">
        <v>76</v>
      </c>
      <c r="C540" s="496" t="s">
        <v>25</v>
      </c>
      <c r="D540" s="497" t="s">
        <v>44</v>
      </c>
      <c r="E540" s="285" t="s">
        <v>365</v>
      </c>
      <c r="F540" s="497" t="s">
        <v>9</v>
      </c>
      <c r="G540" s="283">
        <f t="shared" ref="G540:R540" si="251">G558+G541</f>
        <v>118554.5346</v>
      </c>
      <c r="H540" s="304">
        <f t="shared" si="251"/>
        <v>2500.9654</v>
      </c>
      <c r="I540" s="283">
        <f t="shared" si="251"/>
        <v>0</v>
      </c>
      <c r="J540" s="304">
        <f t="shared" si="251"/>
        <v>109.85</v>
      </c>
      <c r="K540" s="283">
        <f t="shared" si="251"/>
        <v>23942.7</v>
      </c>
      <c r="L540" s="283">
        <f t="shared" si="251"/>
        <v>1.6875389974302379E-14</v>
      </c>
      <c r="M540" s="568">
        <f t="shared" si="251"/>
        <v>15896.7</v>
      </c>
      <c r="N540" s="568">
        <f t="shared" si="251"/>
        <v>348.10000000000036</v>
      </c>
      <c r="O540" s="569">
        <f t="shared" si="251"/>
        <v>0</v>
      </c>
      <c r="P540" s="569">
        <f t="shared" si="251"/>
        <v>0</v>
      </c>
      <c r="Q540" s="569">
        <f t="shared" si="251"/>
        <v>0</v>
      </c>
      <c r="R540" s="569">
        <f t="shared" si="251"/>
        <v>0</v>
      </c>
      <c r="S540" s="132">
        <f t="shared" si="226"/>
        <v>161352.85000000003</v>
      </c>
    </row>
    <row r="541" spans="1:21" s="80" customFormat="1" ht="31.5" x14ac:dyDescent="0.25">
      <c r="A541" s="267" t="s">
        <v>787</v>
      </c>
      <c r="B541" s="497" t="s">
        <v>76</v>
      </c>
      <c r="C541" s="496" t="s">
        <v>25</v>
      </c>
      <c r="D541" s="497" t="s">
        <v>44</v>
      </c>
      <c r="E541" s="285" t="s">
        <v>495</v>
      </c>
      <c r="F541" s="497" t="s">
        <v>9</v>
      </c>
      <c r="G541" s="283">
        <f t="shared" ref="G541:R541" si="252">G542</f>
        <v>0</v>
      </c>
      <c r="H541" s="304">
        <f t="shared" si="252"/>
        <v>0</v>
      </c>
      <c r="I541" s="283">
        <f t="shared" si="252"/>
        <v>0</v>
      </c>
      <c r="J541" s="283">
        <f t="shared" si="252"/>
        <v>0</v>
      </c>
      <c r="K541" s="283">
        <f t="shared" si="252"/>
        <v>0</v>
      </c>
      <c r="L541" s="283">
        <f t="shared" si="252"/>
        <v>0</v>
      </c>
      <c r="M541" s="568">
        <f t="shared" si="252"/>
        <v>0</v>
      </c>
      <c r="N541" s="568">
        <f t="shared" si="252"/>
        <v>16057.300000000001</v>
      </c>
      <c r="O541" s="569">
        <f t="shared" si="252"/>
        <v>0</v>
      </c>
      <c r="P541" s="569">
        <f t="shared" si="252"/>
        <v>0</v>
      </c>
      <c r="Q541" s="569">
        <f t="shared" si="252"/>
        <v>0</v>
      </c>
      <c r="R541" s="569">
        <f t="shared" si="252"/>
        <v>0</v>
      </c>
      <c r="S541" s="132">
        <f t="shared" si="226"/>
        <v>16057.300000000001</v>
      </c>
    </row>
    <row r="542" spans="1:21" s="80" customFormat="1" ht="31.5" x14ac:dyDescent="0.25">
      <c r="A542" s="267" t="s">
        <v>1177</v>
      </c>
      <c r="B542" s="497" t="s">
        <v>76</v>
      </c>
      <c r="C542" s="496" t="s">
        <v>25</v>
      </c>
      <c r="D542" s="497" t="s">
        <v>44</v>
      </c>
      <c r="E542" s="285" t="s">
        <v>966</v>
      </c>
      <c r="F542" s="497" t="s">
        <v>9</v>
      </c>
      <c r="G542" s="283">
        <f>G548+G553+G543+G546</f>
        <v>0</v>
      </c>
      <c r="H542" s="283">
        <f t="shared" ref="H542:R542" si="253">H548+H553+H543+H546</f>
        <v>0</v>
      </c>
      <c r="I542" s="283">
        <f t="shared" si="253"/>
        <v>0</v>
      </c>
      <c r="J542" s="283">
        <f t="shared" si="253"/>
        <v>0</v>
      </c>
      <c r="K542" s="283">
        <f t="shared" si="253"/>
        <v>0</v>
      </c>
      <c r="L542" s="283">
        <f t="shared" si="253"/>
        <v>0</v>
      </c>
      <c r="M542" s="283">
        <f t="shared" si="253"/>
        <v>0</v>
      </c>
      <c r="N542" s="132">
        <f t="shared" si="253"/>
        <v>16057.300000000001</v>
      </c>
      <c r="O542" s="132">
        <f t="shared" si="253"/>
        <v>0</v>
      </c>
      <c r="P542" s="132">
        <f t="shared" si="253"/>
        <v>0</v>
      </c>
      <c r="Q542" s="132">
        <f t="shared" si="253"/>
        <v>0</v>
      </c>
      <c r="R542" s="132">
        <f t="shared" si="253"/>
        <v>0</v>
      </c>
      <c r="S542" s="132">
        <f t="shared" si="226"/>
        <v>16057.300000000001</v>
      </c>
    </row>
    <row r="543" spans="1:21" s="80" customFormat="1" ht="47.25" x14ac:dyDescent="0.25">
      <c r="A543" s="267" t="s">
        <v>41</v>
      </c>
      <c r="B543" s="650">
        <v>936</v>
      </c>
      <c r="C543" s="496" t="s">
        <v>25</v>
      </c>
      <c r="D543" s="650" t="s">
        <v>44</v>
      </c>
      <c r="E543" s="651" t="s">
        <v>1180</v>
      </c>
      <c r="F543" s="651" t="s">
        <v>9</v>
      </c>
      <c r="G543" s="283">
        <f>G544</f>
        <v>0</v>
      </c>
      <c r="H543" s="283">
        <f t="shared" ref="H543:R543" si="254">H544</f>
        <v>0</v>
      </c>
      <c r="I543" s="283">
        <f t="shared" si="254"/>
        <v>0</v>
      </c>
      <c r="J543" s="283">
        <f t="shared" si="254"/>
        <v>0</v>
      </c>
      <c r="K543" s="283">
        <f t="shared" si="254"/>
        <v>0</v>
      </c>
      <c r="L543" s="283">
        <f t="shared" si="254"/>
        <v>0</v>
      </c>
      <c r="M543" s="283">
        <f t="shared" si="254"/>
        <v>0</v>
      </c>
      <c r="N543" s="132">
        <f t="shared" si="254"/>
        <v>15896.7</v>
      </c>
      <c r="O543" s="132">
        <f t="shared" si="254"/>
        <v>0</v>
      </c>
      <c r="P543" s="132">
        <f t="shared" si="254"/>
        <v>0</v>
      </c>
      <c r="Q543" s="132">
        <f t="shared" si="254"/>
        <v>0</v>
      </c>
      <c r="R543" s="132">
        <f t="shared" si="254"/>
        <v>0</v>
      </c>
      <c r="S543" s="132">
        <f t="shared" si="226"/>
        <v>15896.7</v>
      </c>
    </row>
    <row r="544" spans="1:21" s="80" customFormat="1" ht="94.5" x14ac:dyDescent="0.25">
      <c r="A544" s="267" t="s">
        <v>1231</v>
      </c>
      <c r="B544" s="650">
        <v>936</v>
      </c>
      <c r="C544" s="496" t="s">
        <v>25</v>
      </c>
      <c r="D544" s="650" t="s">
        <v>44</v>
      </c>
      <c r="E544" s="651" t="s">
        <v>1267</v>
      </c>
      <c r="F544" s="651" t="s">
        <v>9</v>
      </c>
      <c r="G544" s="283">
        <f>G545</f>
        <v>0</v>
      </c>
      <c r="H544" s="283">
        <f t="shared" ref="H544:R544" si="255">H545</f>
        <v>0</v>
      </c>
      <c r="I544" s="283">
        <f t="shared" si="255"/>
        <v>0</v>
      </c>
      <c r="J544" s="283">
        <f t="shared" si="255"/>
        <v>0</v>
      </c>
      <c r="K544" s="283">
        <f t="shared" si="255"/>
        <v>0</v>
      </c>
      <c r="L544" s="283">
        <f t="shared" si="255"/>
        <v>0</v>
      </c>
      <c r="M544" s="283">
        <f t="shared" si="255"/>
        <v>0</v>
      </c>
      <c r="N544" s="132">
        <f t="shared" si="255"/>
        <v>15896.7</v>
      </c>
      <c r="O544" s="132">
        <f t="shared" si="255"/>
        <v>0</v>
      </c>
      <c r="P544" s="132">
        <f t="shared" si="255"/>
        <v>0</v>
      </c>
      <c r="Q544" s="132">
        <f t="shared" si="255"/>
        <v>0</v>
      </c>
      <c r="R544" s="132">
        <f t="shared" si="255"/>
        <v>0</v>
      </c>
      <c r="S544" s="132">
        <f t="shared" si="226"/>
        <v>15896.7</v>
      </c>
    </row>
    <row r="545" spans="1:25" s="77" customFormat="1" ht="31.5" x14ac:dyDescent="0.25">
      <c r="A545" s="264" t="s">
        <v>124</v>
      </c>
      <c r="B545" s="380">
        <v>936</v>
      </c>
      <c r="C545" s="488" t="s">
        <v>25</v>
      </c>
      <c r="D545" s="380" t="s">
        <v>44</v>
      </c>
      <c r="E545" s="75" t="s">
        <v>1267</v>
      </c>
      <c r="F545" s="75" t="s">
        <v>117</v>
      </c>
      <c r="G545" s="282"/>
      <c r="H545" s="303"/>
      <c r="I545" s="282"/>
      <c r="J545" s="282"/>
      <c r="K545" s="282"/>
      <c r="L545" s="282"/>
      <c r="M545" s="566"/>
      <c r="N545" s="566">
        <v>15896.7</v>
      </c>
      <c r="O545" s="567"/>
      <c r="P545" s="567"/>
      <c r="Q545" s="567"/>
      <c r="R545" s="567"/>
      <c r="S545" s="566">
        <f t="shared" si="226"/>
        <v>15896.7</v>
      </c>
    </row>
    <row r="546" spans="1:25" s="80" customFormat="1" ht="94.5" x14ac:dyDescent="0.25">
      <c r="A546" s="267" t="s">
        <v>1231</v>
      </c>
      <c r="B546" s="650">
        <v>936</v>
      </c>
      <c r="C546" s="496" t="s">
        <v>25</v>
      </c>
      <c r="D546" s="650" t="s">
        <v>44</v>
      </c>
      <c r="E546" s="651" t="s">
        <v>1268</v>
      </c>
      <c r="F546" s="651" t="s">
        <v>9</v>
      </c>
      <c r="G546" s="283">
        <f>G547</f>
        <v>0</v>
      </c>
      <c r="H546" s="283">
        <f t="shared" ref="H546:R546" si="256">H547</f>
        <v>0</v>
      </c>
      <c r="I546" s="283">
        <f t="shared" si="256"/>
        <v>0</v>
      </c>
      <c r="J546" s="283">
        <f t="shared" si="256"/>
        <v>0</v>
      </c>
      <c r="K546" s="283">
        <f t="shared" si="256"/>
        <v>0</v>
      </c>
      <c r="L546" s="283">
        <f t="shared" si="256"/>
        <v>0</v>
      </c>
      <c r="M546" s="283">
        <f t="shared" si="256"/>
        <v>0</v>
      </c>
      <c r="N546" s="132">
        <f t="shared" si="256"/>
        <v>160.6</v>
      </c>
      <c r="O546" s="132">
        <f t="shared" si="256"/>
        <v>0</v>
      </c>
      <c r="P546" s="132">
        <f t="shared" si="256"/>
        <v>0</v>
      </c>
      <c r="Q546" s="132">
        <f t="shared" si="256"/>
        <v>0</v>
      </c>
      <c r="R546" s="132">
        <f t="shared" si="256"/>
        <v>0</v>
      </c>
      <c r="S546" s="132">
        <f t="shared" si="226"/>
        <v>160.6</v>
      </c>
    </row>
    <row r="547" spans="1:25" s="77" customFormat="1" ht="31.5" x14ac:dyDescent="0.25">
      <c r="A547" s="264" t="s">
        <v>124</v>
      </c>
      <c r="B547" s="380">
        <v>936</v>
      </c>
      <c r="C547" s="488" t="s">
        <v>25</v>
      </c>
      <c r="D547" s="380" t="s">
        <v>44</v>
      </c>
      <c r="E547" s="75" t="s">
        <v>1268</v>
      </c>
      <c r="F547" s="75" t="s">
        <v>117</v>
      </c>
      <c r="G547" s="282"/>
      <c r="H547" s="303"/>
      <c r="I547" s="282"/>
      <c r="J547" s="282"/>
      <c r="K547" s="282"/>
      <c r="L547" s="282"/>
      <c r="M547" s="566"/>
      <c r="N547" s="566">
        <v>160.6</v>
      </c>
      <c r="O547" s="567"/>
      <c r="P547" s="567"/>
      <c r="Q547" s="567"/>
      <c r="R547" s="567"/>
      <c r="S547" s="566">
        <f t="shared" si="226"/>
        <v>160.6</v>
      </c>
    </row>
    <row r="548" spans="1:25" s="80" customFormat="1" ht="15.6" hidden="1" x14ac:dyDescent="0.3">
      <c r="A548" s="492" t="s">
        <v>967</v>
      </c>
      <c r="B548" s="497" t="s">
        <v>76</v>
      </c>
      <c r="C548" s="496" t="s">
        <v>25</v>
      </c>
      <c r="D548" s="497" t="s">
        <v>44</v>
      </c>
      <c r="E548" s="285" t="s">
        <v>968</v>
      </c>
      <c r="F548" s="497" t="s">
        <v>9</v>
      </c>
      <c r="G548" s="283">
        <f t="shared" ref="G548:R548" si="257">G549+G552</f>
        <v>0</v>
      </c>
      <c r="H548" s="304">
        <f t="shared" si="257"/>
        <v>0</v>
      </c>
      <c r="I548" s="283">
        <f t="shared" si="257"/>
        <v>0</v>
      </c>
      <c r="J548" s="283">
        <f t="shared" si="257"/>
        <v>0</v>
      </c>
      <c r="K548" s="283">
        <f t="shared" si="257"/>
        <v>0</v>
      </c>
      <c r="L548" s="283">
        <f t="shared" si="257"/>
        <v>0</v>
      </c>
      <c r="M548" s="568">
        <f t="shared" si="257"/>
        <v>0</v>
      </c>
      <c r="N548" s="568">
        <f t="shared" si="257"/>
        <v>0</v>
      </c>
      <c r="O548" s="569">
        <f t="shared" si="257"/>
        <v>0</v>
      </c>
      <c r="P548" s="569">
        <f t="shared" si="257"/>
        <v>0</v>
      </c>
      <c r="Q548" s="569">
        <f t="shared" si="257"/>
        <v>0</v>
      </c>
      <c r="R548" s="569">
        <f t="shared" si="257"/>
        <v>0</v>
      </c>
      <c r="S548" s="132">
        <f t="shared" si="226"/>
        <v>0</v>
      </c>
    </row>
    <row r="549" spans="1:25" s="80" customFormat="1" ht="31.15" hidden="1" x14ac:dyDescent="0.3">
      <c r="A549" s="267" t="s">
        <v>969</v>
      </c>
      <c r="B549" s="497" t="s">
        <v>76</v>
      </c>
      <c r="C549" s="496" t="s">
        <v>25</v>
      </c>
      <c r="D549" s="497" t="s">
        <v>44</v>
      </c>
      <c r="E549" s="285" t="s">
        <v>970</v>
      </c>
      <c r="F549" s="497" t="s">
        <v>9</v>
      </c>
      <c r="G549" s="283">
        <f t="shared" ref="G549:R549" si="258">G550</f>
        <v>0</v>
      </c>
      <c r="H549" s="304">
        <f t="shared" si="258"/>
        <v>0</v>
      </c>
      <c r="I549" s="283">
        <f t="shared" si="258"/>
        <v>0</v>
      </c>
      <c r="J549" s="283">
        <f t="shared" si="258"/>
        <v>0</v>
      </c>
      <c r="K549" s="283">
        <f t="shared" si="258"/>
        <v>0</v>
      </c>
      <c r="L549" s="283">
        <f t="shared" si="258"/>
        <v>0</v>
      </c>
      <c r="M549" s="568">
        <f t="shared" si="258"/>
        <v>0</v>
      </c>
      <c r="N549" s="568">
        <f t="shared" si="258"/>
        <v>0</v>
      </c>
      <c r="O549" s="569">
        <f t="shared" si="258"/>
        <v>0</v>
      </c>
      <c r="P549" s="569">
        <f t="shared" si="258"/>
        <v>0</v>
      </c>
      <c r="Q549" s="569">
        <f t="shared" si="258"/>
        <v>0</v>
      </c>
      <c r="R549" s="569">
        <f t="shared" si="258"/>
        <v>0</v>
      </c>
      <c r="S549" s="132">
        <f t="shared" si="226"/>
        <v>0</v>
      </c>
    </row>
    <row r="550" spans="1:25" s="80" customFormat="1" ht="31.15" hidden="1" x14ac:dyDescent="0.3">
      <c r="A550" s="264" t="s">
        <v>124</v>
      </c>
      <c r="B550" s="380" t="s">
        <v>76</v>
      </c>
      <c r="C550" s="488" t="s">
        <v>25</v>
      </c>
      <c r="D550" s="380" t="s">
        <v>44</v>
      </c>
      <c r="E550" s="265" t="s">
        <v>970</v>
      </c>
      <c r="F550" s="380" t="s">
        <v>117</v>
      </c>
      <c r="G550" s="282"/>
      <c r="H550" s="303"/>
      <c r="I550" s="282"/>
      <c r="J550" s="282"/>
      <c r="K550" s="282"/>
      <c r="L550" s="282"/>
      <c r="M550" s="566"/>
      <c r="N550" s="566"/>
      <c r="O550" s="131"/>
      <c r="P550" s="131"/>
      <c r="Q550" s="131"/>
      <c r="R550" s="131"/>
      <c r="S550" s="131">
        <f t="shared" si="226"/>
        <v>0</v>
      </c>
    </row>
    <row r="551" spans="1:25" s="80" customFormat="1" ht="31.15" hidden="1" x14ac:dyDescent="0.3">
      <c r="A551" s="267" t="s">
        <v>971</v>
      </c>
      <c r="B551" s="497" t="s">
        <v>76</v>
      </c>
      <c r="C551" s="496" t="s">
        <v>25</v>
      </c>
      <c r="D551" s="497" t="s">
        <v>44</v>
      </c>
      <c r="E551" s="285" t="s">
        <v>972</v>
      </c>
      <c r="F551" s="497" t="s">
        <v>9</v>
      </c>
      <c r="G551" s="283">
        <f t="shared" ref="G551:R551" si="259">G552</f>
        <v>0</v>
      </c>
      <c r="H551" s="304">
        <f t="shared" si="259"/>
        <v>0</v>
      </c>
      <c r="I551" s="283">
        <f t="shared" si="259"/>
        <v>0</v>
      </c>
      <c r="J551" s="283">
        <f t="shared" si="259"/>
        <v>0</v>
      </c>
      <c r="K551" s="283">
        <f t="shared" si="259"/>
        <v>0</v>
      </c>
      <c r="L551" s="283">
        <f t="shared" si="259"/>
        <v>0</v>
      </c>
      <c r="M551" s="568">
        <f t="shared" si="259"/>
        <v>0</v>
      </c>
      <c r="N551" s="568">
        <f t="shared" si="259"/>
        <v>0</v>
      </c>
      <c r="O551" s="569">
        <f t="shared" si="259"/>
        <v>0</v>
      </c>
      <c r="P551" s="569">
        <f t="shared" si="259"/>
        <v>0</v>
      </c>
      <c r="Q551" s="569">
        <f t="shared" si="259"/>
        <v>0</v>
      </c>
      <c r="R551" s="569">
        <f t="shared" si="259"/>
        <v>0</v>
      </c>
      <c r="S551" s="132">
        <f t="shared" si="226"/>
        <v>0</v>
      </c>
    </row>
    <row r="552" spans="1:25" s="80" customFormat="1" ht="31.15" hidden="1" x14ac:dyDescent="0.3">
      <c r="A552" s="264" t="s">
        <v>124</v>
      </c>
      <c r="B552" s="380" t="s">
        <v>76</v>
      </c>
      <c r="C552" s="488" t="s">
        <v>25</v>
      </c>
      <c r="D552" s="380" t="s">
        <v>44</v>
      </c>
      <c r="E552" s="265" t="s">
        <v>972</v>
      </c>
      <c r="F552" s="380" t="s">
        <v>117</v>
      </c>
      <c r="G552" s="282"/>
      <c r="H552" s="303"/>
      <c r="I552" s="282"/>
      <c r="J552" s="282"/>
      <c r="K552" s="282"/>
      <c r="L552" s="282"/>
      <c r="M552" s="566"/>
      <c r="N552" s="566"/>
      <c r="O552" s="131"/>
      <c r="P552" s="131"/>
      <c r="Q552" s="131"/>
      <c r="R552" s="131"/>
      <c r="S552" s="131">
        <f t="shared" si="226"/>
        <v>0</v>
      </c>
    </row>
    <row r="553" spans="1:25" s="80" customFormat="1" ht="15.6" hidden="1" x14ac:dyDescent="0.3">
      <c r="A553" s="492" t="s">
        <v>967</v>
      </c>
      <c r="B553" s="497" t="s">
        <v>76</v>
      </c>
      <c r="C553" s="496" t="s">
        <v>25</v>
      </c>
      <c r="D553" s="497" t="s">
        <v>44</v>
      </c>
      <c r="E553" s="285" t="s">
        <v>973</v>
      </c>
      <c r="F553" s="497" t="s">
        <v>9</v>
      </c>
      <c r="G553" s="283">
        <f t="shared" ref="G553:R553" si="260">G554+G556</f>
        <v>0</v>
      </c>
      <c r="H553" s="304">
        <f t="shared" si="260"/>
        <v>0</v>
      </c>
      <c r="I553" s="283">
        <f t="shared" si="260"/>
        <v>0</v>
      </c>
      <c r="J553" s="283">
        <f t="shared" si="260"/>
        <v>0</v>
      </c>
      <c r="K553" s="283">
        <f t="shared" si="260"/>
        <v>0</v>
      </c>
      <c r="L553" s="283">
        <f t="shared" si="260"/>
        <v>0</v>
      </c>
      <c r="M553" s="568">
        <f t="shared" si="260"/>
        <v>0</v>
      </c>
      <c r="N553" s="568">
        <f t="shared" si="260"/>
        <v>0</v>
      </c>
      <c r="O553" s="569">
        <f t="shared" si="260"/>
        <v>0</v>
      </c>
      <c r="P553" s="569">
        <f t="shared" si="260"/>
        <v>0</v>
      </c>
      <c r="Q553" s="569">
        <f t="shared" si="260"/>
        <v>0</v>
      </c>
      <c r="R553" s="569">
        <f t="shared" si="260"/>
        <v>0</v>
      </c>
      <c r="S553" s="132">
        <f t="shared" si="226"/>
        <v>0</v>
      </c>
    </row>
    <row r="554" spans="1:25" s="80" customFormat="1" ht="31.15" hidden="1" x14ac:dyDescent="0.3">
      <c r="A554" s="267" t="s">
        <v>969</v>
      </c>
      <c r="B554" s="497" t="s">
        <v>76</v>
      </c>
      <c r="C554" s="496" t="s">
        <v>25</v>
      </c>
      <c r="D554" s="497" t="s">
        <v>44</v>
      </c>
      <c r="E554" s="285" t="s">
        <v>974</v>
      </c>
      <c r="F554" s="497" t="s">
        <v>9</v>
      </c>
      <c r="G554" s="283">
        <f t="shared" ref="G554:R554" si="261">G555</f>
        <v>0</v>
      </c>
      <c r="H554" s="304">
        <f t="shared" si="261"/>
        <v>0</v>
      </c>
      <c r="I554" s="283">
        <f t="shared" si="261"/>
        <v>0</v>
      </c>
      <c r="J554" s="283">
        <f t="shared" si="261"/>
        <v>0</v>
      </c>
      <c r="K554" s="283">
        <f t="shared" si="261"/>
        <v>0</v>
      </c>
      <c r="L554" s="283">
        <f t="shared" si="261"/>
        <v>0</v>
      </c>
      <c r="M554" s="568">
        <f t="shared" si="261"/>
        <v>0</v>
      </c>
      <c r="N554" s="568">
        <f t="shared" si="261"/>
        <v>0</v>
      </c>
      <c r="O554" s="569">
        <f t="shared" si="261"/>
        <v>0</v>
      </c>
      <c r="P554" s="569">
        <f t="shared" si="261"/>
        <v>0</v>
      </c>
      <c r="Q554" s="569">
        <f t="shared" si="261"/>
        <v>0</v>
      </c>
      <c r="R554" s="569">
        <f t="shared" si="261"/>
        <v>0</v>
      </c>
      <c r="S554" s="132">
        <f t="shared" si="226"/>
        <v>0</v>
      </c>
    </row>
    <row r="555" spans="1:25" s="80" customFormat="1" ht="31.15" hidden="1" x14ac:dyDescent="0.3">
      <c r="A555" s="264" t="s">
        <v>124</v>
      </c>
      <c r="B555" s="380" t="s">
        <v>76</v>
      </c>
      <c r="C555" s="488" t="s">
        <v>25</v>
      </c>
      <c r="D555" s="380" t="s">
        <v>44</v>
      </c>
      <c r="E555" s="265" t="s">
        <v>974</v>
      </c>
      <c r="F555" s="380" t="s">
        <v>117</v>
      </c>
      <c r="G555" s="282"/>
      <c r="H555" s="303"/>
      <c r="I555" s="282"/>
      <c r="J555" s="282"/>
      <c r="K555" s="282"/>
      <c r="L555" s="282"/>
      <c r="M555" s="566"/>
      <c r="N555" s="566"/>
      <c r="O555" s="131"/>
      <c r="P555" s="131"/>
      <c r="Q555" s="131"/>
      <c r="R555" s="131"/>
      <c r="S555" s="131">
        <f t="shared" si="226"/>
        <v>0</v>
      </c>
    </row>
    <row r="556" spans="1:25" s="80" customFormat="1" ht="31.15" hidden="1" x14ac:dyDescent="0.3">
      <c r="A556" s="267" t="s">
        <v>971</v>
      </c>
      <c r="B556" s="497" t="s">
        <v>76</v>
      </c>
      <c r="C556" s="496" t="s">
        <v>25</v>
      </c>
      <c r="D556" s="497" t="s">
        <v>44</v>
      </c>
      <c r="E556" s="285" t="s">
        <v>975</v>
      </c>
      <c r="F556" s="497" t="s">
        <v>9</v>
      </c>
      <c r="G556" s="283">
        <f t="shared" ref="G556:R556" si="262">G557</f>
        <v>0</v>
      </c>
      <c r="H556" s="304">
        <f t="shared" si="262"/>
        <v>0</v>
      </c>
      <c r="I556" s="283">
        <f t="shared" si="262"/>
        <v>0</v>
      </c>
      <c r="J556" s="283">
        <f t="shared" si="262"/>
        <v>0</v>
      </c>
      <c r="K556" s="283">
        <f t="shared" si="262"/>
        <v>0</v>
      </c>
      <c r="L556" s="283">
        <f t="shared" si="262"/>
        <v>0</v>
      </c>
      <c r="M556" s="568">
        <f t="shared" si="262"/>
        <v>0</v>
      </c>
      <c r="N556" s="568">
        <f t="shared" si="262"/>
        <v>0</v>
      </c>
      <c r="O556" s="569">
        <f t="shared" si="262"/>
        <v>0</v>
      </c>
      <c r="P556" s="569">
        <f t="shared" si="262"/>
        <v>0</v>
      </c>
      <c r="Q556" s="569">
        <f t="shared" si="262"/>
        <v>0</v>
      </c>
      <c r="R556" s="569">
        <f t="shared" si="262"/>
        <v>0</v>
      </c>
      <c r="S556" s="132">
        <f t="shared" si="226"/>
        <v>0</v>
      </c>
    </row>
    <row r="557" spans="1:25" s="80" customFormat="1" ht="31.15" hidden="1" x14ac:dyDescent="0.3">
      <c r="A557" s="264" t="s">
        <v>124</v>
      </c>
      <c r="B557" s="380" t="s">
        <v>76</v>
      </c>
      <c r="C557" s="488" t="s">
        <v>25</v>
      </c>
      <c r="D557" s="380" t="s">
        <v>44</v>
      </c>
      <c r="E557" s="265" t="s">
        <v>975</v>
      </c>
      <c r="F557" s="380" t="s">
        <v>117</v>
      </c>
      <c r="G557" s="282"/>
      <c r="H557" s="303"/>
      <c r="I557" s="282"/>
      <c r="J557" s="282"/>
      <c r="K557" s="282"/>
      <c r="L557" s="282"/>
      <c r="M557" s="566"/>
      <c r="N557" s="566"/>
      <c r="O557" s="131"/>
      <c r="P557" s="131"/>
      <c r="Q557" s="131"/>
      <c r="R557" s="131"/>
      <c r="S557" s="131">
        <f t="shared" si="226"/>
        <v>0</v>
      </c>
    </row>
    <row r="558" spans="1:25" s="77" customFormat="1" ht="31.5" x14ac:dyDescent="0.25">
      <c r="A558" s="267" t="s">
        <v>784</v>
      </c>
      <c r="B558" s="497" t="s">
        <v>76</v>
      </c>
      <c r="C558" s="496" t="s">
        <v>25</v>
      </c>
      <c r="D558" s="497" t="s">
        <v>44</v>
      </c>
      <c r="E558" s="285" t="s">
        <v>380</v>
      </c>
      <c r="F558" s="497" t="s">
        <v>9</v>
      </c>
      <c r="G558" s="283">
        <f t="shared" ref="G558:R558" si="263">G559</f>
        <v>118554.5346</v>
      </c>
      <c r="H558" s="304">
        <f t="shared" si="263"/>
        <v>2500.9654</v>
      </c>
      <c r="I558" s="283">
        <f t="shared" si="263"/>
        <v>0</v>
      </c>
      <c r="J558" s="283">
        <f t="shared" si="263"/>
        <v>109.85</v>
      </c>
      <c r="K558" s="283">
        <f t="shared" si="263"/>
        <v>23942.7</v>
      </c>
      <c r="L558" s="283">
        <f t="shared" si="263"/>
        <v>1.6875389974302379E-14</v>
      </c>
      <c r="M558" s="568">
        <f t="shared" si="263"/>
        <v>15896.7</v>
      </c>
      <c r="N558" s="568">
        <f t="shared" si="263"/>
        <v>-15709.2</v>
      </c>
      <c r="O558" s="569">
        <f t="shared" si="263"/>
        <v>0</v>
      </c>
      <c r="P558" s="569">
        <f t="shared" si="263"/>
        <v>0</v>
      </c>
      <c r="Q558" s="569">
        <f t="shared" si="263"/>
        <v>0</v>
      </c>
      <c r="R558" s="569">
        <f t="shared" si="263"/>
        <v>0</v>
      </c>
      <c r="S558" s="132">
        <f t="shared" si="226"/>
        <v>145295.55000000002</v>
      </c>
    </row>
    <row r="559" spans="1:25" s="80" customFormat="1" ht="31.5" x14ac:dyDescent="0.25">
      <c r="A559" s="267" t="s">
        <v>52</v>
      </c>
      <c r="B559" s="497" t="s">
        <v>76</v>
      </c>
      <c r="C559" s="496" t="s">
        <v>25</v>
      </c>
      <c r="D559" s="497" t="s">
        <v>44</v>
      </c>
      <c r="E559" s="285" t="s">
        <v>394</v>
      </c>
      <c r="F559" s="497" t="s">
        <v>9</v>
      </c>
      <c r="G559" s="283">
        <f>G560+G580+G590+G582+G585+G576+G574+G572+G588+G578+G565</f>
        <v>118554.5346</v>
      </c>
      <c r="H559" s="283">
        <f t="shared" ref="H559:R559" si="264">H560+H580+H590+H582+H585+H576+H574+H572+H588+H578+H565</f>
        <v>2500.9654</v>
      </c>
      <c r="I559" s="283">
        <f t="shared" si="264"/>
        <v>0</v>
      </c>
      <c r="J559" s="283">
        <f t="shared" si="264"/>
        <v>109.85</v>
      </c>
      <c r="K559" s="283">
        <f t="shared" si="264"/>
        <v>23942.7</v>
      </c>
      <c r="L559" s="283">
        <f t="shared" si="264"/>
        <v>1.6875389974302379E-14</v>
      </c>
      <c r="M559" s="283">
        <f t="shared" si="264"/>
        <v>15896.7</v>
      </c>
      <c r="N559" s="132">
        <f t="shared" si="264"/>
        <v>-15709.2</v>
      </c>
      <c r="O559" s="132">
        <f t="shared" si="264"/>
        <v>0</v>
      </c>
      <c r="P559" s="132">
        <f t="shared" si="264"/>
        <v>0</v>
      </c>
      <c r="Q559" s="132">
        <f t="shared" si="264"/>
        <v>0</v>
      </c>
      <c r="R559" s="132">
        <f t="shared" si="264"/>
        <v>0</v>
      </c>
      <c r="S559" s="132">
        <f t="shared" si="226"/>
        <v>145295.55000000002</v>
      </c>
    </row>
    <row r="560" spans="1:25" s="77" customFormat="1" ht="47.25" x14ac:dyDescent="0.25">
      <c r="A560" s="267" t="s">
        <v>41</v>
      </c>
      <c r="B560" s="497" t="s">
        <v>76</v>
      </c>
      <c r="C560" s="496" t="s">
        <v>25</v>
      </c>
      <c r="D560" s="497" t="s">
        <v>44</v>
      </c>
      <c r="E560" s="285" t="s">
        <v>438</v>
      </c>
      <c r="F560" s="497" t="s">
        <v>9</v>
      </c>
      <c r="G560" s="283">
        <f>G561+G569+G567+G563</f>
        <v>117445.6</v>
      </c>
      <c r="H560" s="283">
        <f t="shared" ref="H560:R560" si="265">H561+H569+H567+H563</f>
        <v>0</v>
      </c>
      <c r="I560" s="283">
        <f t="shared" si="265"/>
        <v>0</v>
      </c>
      <c r="J560" s="283">
        <f t="shared" si="265"/>
        <v>0</v>
      </c>
      <c r="K560" s="283">
        <f t="shared" si="265"/>
        <v>23942.7</v>
      </c>
      <c r="L560" s="283">
        <f t="shared" si="265"/>
        <v>0</v>
      </c>
      <c r="M560" s="283">
        <f t="shared" si="265"/>
        <v>15896.7</v>
      </c>
      <c r="N560" s="132">
        <f t="shared" si="265"/>
        <v>-15896.7</v>
      </c>
      <c r="O560" s="132">
        <f t="shared" si="265"/>
        <v>0</v>
      </c>
      <c r="P560" s="132">
        <f t="shared" si="265"/>
        <v>0</v>
      </c>
      <c r="Q560" s="132">
        <f t="shared" si="265"/>
        <v>0</v>
      </c>
      <c r="R560" s="132">
        <f t="shared" si="265"/>
        <v>0</v>
      </c>
      <c r="S560" s="132">
        <f t="shared" si="226"/>
        <v>141388.30000000002</v>
      </c>
      <c r="Y560" s="77" t="s">
        <v>1003</v>
      </c>
    </row>
    <row r="561" spans="1:19" s="77" customFormat="1" ht="31.5" x14ac:dyDescent="0.25">
      <c r="A561" s="267" t="s">
        <v>212</v>
      </c>
      <c r="B561" s="497" t="s">
        <v>76</v>
      </c>
      <c r="C561" s="496" t="s">
        <v>25</v>
      </c>
      <c r="D561" s="497" t="s">
        <v>44</v>
      </c>
      <c r="E561" s="285" t="s">
        <v>439</v>
      </c>
      <c r="F561" s="497" t="s">
        <v>9</v>
      </c>
      <c r="G561" s="283">
        <f t="shared" ref="G561:R561" si="266">G562</f>
        <v>19177</v>
      </c>
      <c r="H561" s="304">
        <f t="shared" si="266"/>
        <v>0</v>
      </c>
      <c r="I561" s="283">
        <f t="shared" si="266"/>
        <v>0</v>
      </c>
      <c r="J561" s="283">
        <f t="shared" si="266"/>
        <v>0</v>
      </c>
      <c r="K561" s="283">
        <f t="shared" si="266"/>
        <v>0</v>
      </c>
      <c r="L561" s="283">
        <f t="shared" si="266"/>
        <v>0</v>
      </c>
      <c r="M561" s="568">
        <f t="shared" si="266"/>
        <v>0</v>
      </c>
      <c r="N561" s="568">
        <f t="shared" si="266"/>
        <v>0</v>
      </c>
      <c r="O561" s="569">
        <f t="shared" si="266"/>
        <v>0</v>
      </c>
      <c r="P561" s="569">
        <f t="shared" si="266"/>
        <v>0</v>
      </c>
      <c r="Q561" s="569">
        <f t="shared" si="266"/>
        <v>0</v>
      </c>
      <c r="R561" s="569">
        <f t="shared" si="266"/>
        <v>0</v>
      </c>
      <c r="S561" s="132">
        <f t="shared" si="226"/>
        <v>19177</v>
      </c>
    </row>
    <row r="562" spans="1:19" s="80" customFormat="1" ht="31.5" x14ac:dyDescent="0.25">
      <c r="A562" s="264" t="s">
        <v>124</v>
      </c>
      <c r="B562" s="380" t="s">
        <v>76</v>
      </c>
      <c r="C562" s="488" t="s">
        <v>25</v>
      </c>
      <c r="D562" s="380" t="s">
        <v>44</v>
      </c>
      <c r="E562" s="265" t="s">
        <v>439</v>
      </c>
      <c r="F562" s="380" t="s">
        <v>117</v>
      </c>
      <c r="G562" s="300">
        <v>19177</v>
      </c>
      <c r="H562" s="303"/>
      <c r="I562" s="265"/>
      <c r="J562" s="265"/>
      <c r="K562" s="265"/>
      <c r="L562" s="265"/>
      <c r="M562" s="570"/>
      <c r="N562" s="570"/>
      <c r="O562" s="571"/>
      <c r="P562" s="571"/>
      <c r="Q562" s="571"/>
      <c r="R562" s="571"/>
      <c r="S562" s="566">
        <f t="shared" si="226"/>
        <v>19177</v>
      </c>
    </row>
    <row r="563" spans="1:19" s="80" customFormat="1" ht="78" hidden="1" x14ac:dyDescent="0.3">
      <c r="A563" s="267" t="s">
        <v>1231</v>
      </c>
      <c r="B563" s="598" t="s">
        <v>76</v>
      </c>
      <c r="C563" s="496" t="s">
        <v>25</v>
      </c>
      <c r="D563" s="598" t="s">
        <v>44</v>
      </c>
      <c r="E563" s="599" t="s">
        <v>1008</v>
      </c>
      <c r="F563" s="599" t="s">
        <v>9</v>
      </c>
      <c r="G563" s="300">
        <f>G564</f>
        <v>0</v>
      </c>
      <c r="H563" s="300">
        <f t="shared" ref="H563:R563" si="267">H564</f>
        <v>0</v>
      </c>
      <c r="I563" s="300">
        <f t="shared" si="267"/>
        <v>0</v>
      </c>
      <c r="J563" s="300">
        <f t="shared" si="267"/>
        <v>0</v>
      </c>
      <c r="K563" s="300">
        <f t="shared" si="267"/>
        <v>0</v>
      </c>
      <c r="L563" s="300">
        <f t="shared" si="267"/>
        <v>0</v>
      </c>
      <c r="M563" s="300" t="str">
        <f t="shared" si="267"/>
        <v>15896,7</v>
      </c>
      <c r="N563" s="582">
        <f t="shared" si="267"/>
        <v>-15896.7</v>
      </c>
      <c r="O563" s="582">
        <f t="shared" si="267"/>
        <v>0</v>
      </c>
      <c r="P563" s="582">
        <f t="shared" si="267"/>
        <v>0</v>
      </c>
      <c r="Q563" s="582">
        <f t="shared" si="267"/>
        <v>0</v>
      </c>
      <c r="R563" s="582">
        <f t="shared" si="267"/>
        <v>0</v>
      </c>
      <c r="S563" s="568">
        <f t="shared" si="226"/>
        <v>0</v>
      </c>
    </row>
    <row r="564" spans="1:19" s="80" customFormat="1" ht="31.15" hidden="1" x14ac:dyDescent="0.3">
      <c r="A564" s="264" t="s">
        <v>124</v>
      </c>
      <c r="B564" s="380" t="s">
        <v>76</v>
      </c>
      <c r="C564" s="488" t="s">
        <v>25</v>
      </c>
      <c r="D564" s="380" t="s">
        <v>44</v>
      </c>
      <c r="E564" s="75" t="s">
        <v>1008</v>
      </c>
      <c r="F564" s="75" t="s">
        <v>117</v>
      </c>
      <c r="G564" s="300"/>
      <c r="H564" s="303"/>
      <c r="I564" s="265"/>
      <c r="J564" s="265"/>
      <c r="K564" s="265"/>
      <c r="L564" s="75"/>
      <c r="M564" s="611" t="s">
        <v>1232</v>
      </c>
      <c r="N564" s="655">
        <v>-15896.7</v>
      </c>
      <c r="O564" s="571"/>
      <c r="P564" s="571"/>
      <c r="Q564" s="571"/>
      <c r="R564" s="571"/>
      <c r="S564" s="131">
        <f t="shared" si="226"/>
        <v>0</v>
      </c>
    </row>
    <row r="565" spans="1:19" s="80" customFormat="1" ht="78" hidden="1" x14ac:dyDescent="0.3">
      <c r="A565" s="267" t="s">
        <v>1231</v>
      </c>
      <c r="B565" s="598" t="s">
        <v>76</v>
      </c>
      <c r="C565" s="496" t="s">
        <v>25</v>
      </c>
      <c r="D565" s="598" t="s">
        <v>44</v>
      </c>
      <c r="E565" s="599" t="s">
        <v>1009</v>
      </c>
      <c r="F565" s="599" t="s">
        <v>9</v>
      </c>
      <c r="G565" s="652">
        <f>G566</f>
        <v>0</v>
      </c>
      <c r="H565" s="652">
        <f t="shared" ref="H565:S565" si="268">H566</f>
        <v>0</v>
      </c>
      <c r="I565" s="652">
        <f t="shared" si="268"/>
        <v>0</v>
      </c>
      <c r="J565" s="652">
        <f t="shared" si="268"/>
        <v>0</v>
      </c>
      <c r="K565" s="652">
        <f t="shared" si="268"/>
        <v>0</v>
      </c>
      <c r="L565" s="652">
        <f t="shared" si="268"/>
        <v>0</v>
      </c>
      <c r="M565" s="652">
        <f t="shared" si="268"/>
        <v>160.6</v>
      </c>
      <c r="N565" s="600">
        <f t="shared" si="268"/>
        <v>-160.6</v>
      </c>
      <c r="O565" s="600">
        <f t="shared" si="268"/>
        <v>0</v>
      </c>
      <c r="P565" s="600">
        <f t="shared" si="268"/>
        <v>0</v>
      </c>
      <c r="Q565" s="600">
        <f t="shared" si="268"/>
        <v>0</v>
      </c>
      <c r="R565" s="600">
        <f t="shared" si="268"/>
        <v>0</v>
      </c>
      <c r="S565" s="600">
        <f t="shared" si="268"/>
        <v>0</v>
      </c>
    </row>
    <row r="566" spans="1:19" s="80" customFormat="1" ht="31.15" hidden="1" x14ac:dyDescent="0.3">
      <c r="A566" s="264" t="s">
        <v>124</v>
      </c>
      <c r="B566" s="380" t="s">
        <v>76</v>
      </c>
      <c r="C566" s="488" t="s">
        <v>25</v>
      </c>
      <c r="D566" s="380" t="s">
        <v>44</v>
      </c>
      <c r="E566" s="75" t="s">
        <v>1009</v>
      </c>
      <c r="F566" s="75" t="s">
        <v>117</v>
      </c>
      <c r="G566" s="300"/>
      <c r="H566" s="303"/>
      <c r="I566" s="265"/>
      <c r="J566" s="265"/>
      <c r="K566" s="265"/>
      <c r="L566" s="599"/>
      <c r="M566" s="611">
        <v>160.6</v>
      </c>
      <c r="N566" s="655">
        <v>-160.6</v>
      </c>
      <c r="O566" s="600"/>
      <c r="P566" s="600"/>
      <c r="Q566" s="600"/>
      <c r="R566" s="600"/>
      <c r="S566" s="131">
        <f t="shared" si="226"/>
        <v>0</v>
      </c>
    </row>
    <row r="567" spans="1:19" s="80" customFormat="1" ht="63" x14ac:dyDescent="0.25">
      <c r="A567" s="391" t="s">
        <v>1167</v>
      </c>
      <c r="B567" s="497" t="s">
        <v>76</v>
      </c>
      <c r="C567" s="496" t="s">
        <v>25</v>
      </c>
      <c r="D567" s="497">
        <v>9</v>
      </c>
      <c r="E567" s="285" t="s">
        <v>1165</v>
      </c>
      <c r="F567" s="497" t="s">
        <v>9</v>
      </c>
      <c r="G567" s="301">
        <f t="shared" ref="G567:R567" si="269">G568</f>
        <v>0</v>
      </c>
      <c r="H567" s="301">
        <f t="shared" si="269"/>
        <v>0</v>
      </c>
      <c r="I567" s="301">
        <f t="shared" si="269"/>
        <v>0</v>
      </c>
      <c r="J567" s="301">
        <f t="shared" si="269"/>
        <v>0</v>
      </c>
      <c r="K567" s="301">
        <f t="shared" si="269"/>
        <v>23942.7</v>
      </c>
      <c r="L567" s="283">
        <f t="shared" si="269"/>
        <v>0</v>
      </c>
      <c r="M567" s="568">
        <f t="shared" si="269"/>
        <v>0</v>
      </c>
      <c r="N567" s="568">
        <f t="shared" si="269"/>
        <v>0</v>
      </c>
      <c r="O567" s="580">
        <f t="shared" si="269"/>
        <v>0</v>
      </c>
      <c r="P567" s="580">
        <f t="shared" si="269"/>
        <v>0</v>
      </c>
      <c r="Q567" s="580">
        <f t="shared" si="269"/>
        <v>0</v>
      </c>
      <c r="R567" s="580">
        <f t="shared" si="269"/>
        <v>0</v>
      </c>
      <c r="S567" s="132">
        <f>G567+H567+I567+J567+K567+L567+M567+N567+O567+P567+Q567+R567</f>
        <v>23942.7</v>
      </c>
    </row>
    <row r="568" spans="1:19" s="77" customFormat="1" ht="31.5" x14ac:dyDescent="0.25">
      <c r="A568" s="264" t="s">
        <v>124</v>
      </c>
      <c r="B568" s="380" t="s">
        <v>76</v>
      </c>
      <c r="C568" s="488" t="s">
        <v>25</v>
      </c>
      <c r="D568" s="380" t="s">
        <v>44</v>
      </c>
      <c r="E568" s="265" t="s">
        <v>1165</v>
      </c>
      <c r="F568" s="380" t="s">
        <v>117</v>
      </c>
      <c r="G568" s="300"/>
      <c r="H568" s="303"/>
      <c r="I568" s="265"/>
      <c r="J568" s="265"/>
      <c r="K568" s="421">
        <v>23942.7</v>
      </c>
      <c r="L568" s="265"/>
      <c r="M568" s="570"/>
      <c r="N568" s="570"/>
      <c r="O568" s="571"/>
      <c r="P568" s="571"/>
      <c r="Q568" s="571"/>
      <c r="R568" s="571"/>
      <c r="S568" s="566">
        <f t="shared" si="226"/>
        <v>23942.7</v>
      </c>
    </row>
    <row r="569" spans="1:19" s="80" customFormat="1" ht="31.5" x14ac:dyDescent="0.25">
      <c r="A569" s="267" t="s">
        <v>1086</v>
      </c>
      <c r="B569" s="497" t="s">
        <v>76</v>
      </c>
      <c r="C569" s="496" t="s">
        <v>25</v>
      </c>
      <c r="D569" s="497" t="s">
        <v>44</v>
      </c>
      <c r="E569" s="285" t="s">
        <v>715</v>
      </c>
      <c r="F569" s="497" t="s">
        <v>9</v>
      </c>
      <c r="G569" s="283">
        <f t="shared" ref="G569:R569" si="270">G571+G570</f>
        <v>98268.6</v>
      </c>
      <c r="H569" s="304">
        <f t="shared" si="270"/>
        <v>0</v>
      </c>
      <c r="I569" s="283">
        <f t="shared" si="270"/>
        <v>0</v>
      </c>
      <c r="J569" s="283">
        <f t="shared" si="270"/>
        <v>0</v>
      </c>
      <c r="K569" s="283">
        <f t="shared" si="270"/>
        <v>0</v>
      </c>
      <c r="L569" s="283">
        <f t="shared" si="270"/>
        <v>0</v>
      </c>
      <c r="M569" s="568">
        <f t="shared" si="270"/>
        <v>0</v>
      </c>
      <c r="N569" s="568">
        <f t="shared" si="270"/>
        <v>0</v>
      </c>
      <c r="O569" s="569">
        <f t="shared" si="270"/>
        <v>0</v>
      </c>
      <c r="P569" s="569">
        <f t="shared" si="270"/>
        <v>0</v>
      </c>
      <c r="Q569" s="569">
        <f t="shared" si="270"/>
        <v>0</v>
      </c>
      <c r="R569" s="569">
        <f t="shared" si="270"/>
        <v>0</v>
      </c>
      <c r="S569" s="132">
        <f t="shared" si="226"/>
        <v>98268.6</v>
      </c>
    </row>
    <row r="570" spans="1:19" s="80" customFormat="1" ht="31.5" x14ac:dyDescent="0.25">
      <c r="A570" s="264" t="s">
        <v>124</v>
      </c>
      <c r="B570" s="380" t="s">
        <v>76</v>
      </c>
      <c r="C570" s="488" t="s">
        <v>25</v>
      </c>
      <c r="D570" s="380" t="s">
        <v>44</v>
      </c>
      <c r="E570" s="265" t="s">
        <v>715</v>
      </c>
      <c r="F570" s="380" t="s">
        <v>117</v>
      </c>
      <c r="G570" s="300">
        <v>98268.6</v>
      </c>
      <c r="H570" s="303"/>
      <c r="I570" s="282"/>
      <c r="J570" s="282"/>
      <c r="K570" s="282"/>
      <c r="L570" s="282"/>
      <c r="M570" s="566"/>
      <c r="N570" s="566"/>
      <c r="O570" s="567"/>
      <c r="P570" s="567"/>
      <c r="Q570" s="567"/>
      <c r="R570" s="567"/>
      <c r="S570" s="566">
        <f t="shared" si="226"/>
        <v>98268.6</v>
      </c>
    </row>
    <row r="571" spans="1:19" s="80" customFormat="1" ht="15.6" hidden="1" x14ac:dyDescent="0.3">
      <c r="A571" s="264" t="s">
        <v>123</v>
      </c>
      <c r="B571" s="380" t="s">
        <v>76</v>
      </c>
      <c r="C571" s="488" t="s">
        <v>25</v>
      </c>
      <c r="D571" s="380" t="s">
        <v>44</v>
      </c>
      <c r="E571" s="265" t="s">
        <v>715</v>
      </c>
      <c r="F571" s="380" t="s">
        <v>119</v>
      </c>
      <c r="G571" s="282">
        <v>0</v>
      </c>
      <c r="H571" s="303"/>
      <c r="I571" s="265"/>
      <c r="J571" s="265"/>
      <c r="K571" s="265"/>
      <c r="L571" s="265"/>
      <c r="M571" s="570"/>
      <c r="N571" s="570"/>
      <c r="O571" s="571"/>
      <c r="P571" s="571"/>
      <c r="Q571" s="571"/>
      <c r="R571" s="571"/>
      <c r="S571" s="131">
        <f t="shared" si="226"/>
        <v>0</v>
      </c>
    </row>
    <row r="572" spans="1:19" s="80" customFormat="1" ht="63" x14ac:dyDescent="0.25">
      <c r="A572" s="391" t="s">
        <v>1167</v>
      </c>
      <c r="B572" s="497" t="s">
        <v>76</v>
      </c>
      <c r="C572" s="496" t="s">
        <v>25</v>
      </c>
      <c r="D572" s="497" t="s">
        <v>44</v>
      </c>
      <c r="E572" s="285" t="s">
        <v>1192</v>
      </c>
      <c r="F572" s="497" t="s">
        <v>9</v>
      </c>
      <c r="G572" s="283">
        <f>G573</f>
        <v>0</v>
      </c>
      <c r="H572" s="283">
        <f t="shared" ref="H572:R572" si="271">H573</f>
        <v>0</v>
      </c>
      <c r="I572" s="283">
        <f t="shared" si="271"/>
        <v>0</v>
      </c>
      <c r="J572" s="283">
        <f t="shared" si="271"/>
        <v>0</v>
      </c>
      <c r="K572" s="283">
        <f t="shared" si="271"/>
        <v>0</v>
      </c>
      <c r="L572" s="283">
        <f t="shared" si="271"/>
        <v>7.5246000000000004</v>
      </c>
      <c r="M572" s="568">
        <f t="shared" si="271"/>
        <v>0</v>
      </c>
      <c r="N572" s="568">
        <f t="shared" si="271"/>
        <v>0</v>
      </c>
      <c r="O572" s="132">
        <f t="shared" si="271"/>
        <v>0</v>
      </c>
      <c r="P572" s="132">
        <f t="shared" si="271"/>
        <v>0</v>
      </c>
      <c r="Q572" s="132">
        <f t="shared" si="271"/>
        <v>0</v>
      </c>
      <c r="R572" s="132">
        <f t="shared" si="271"/>
        <v>0</v>
      </c>
      <c r="S572" s="132">
        <f t="shared" si="226"/>
        <v>7.5246000000000004</v>
      </c>
    </row>
    <row r="573" spans="1:19" s="77" customFormat="1" ht="31.5" x14ac:dyDescent="0.25">
      <c r="A573" s="264" t="s">
        <v>124</v>
      </c>
      <c r="B573" s="380" t="s">
        <v>76</v>
      </c>
      <c r="C573" s="488" t="s">
        <v>25</v>
      </c>
      <c r="D573" s="380" t="s">
        <v>44</v>
      </c>
      <c r="E573" s="265" t="s">
        <v>1192</v>
      </c>
      <c r="F573" s="380" t="s">
        <v>117</v>
      </c>
      <c r="G573" s="282"/>
      <c r="H573" s="303"/>
      <c r="I573" s="265"/>
      <c r="J573" s="265"/>
      <c r="K573" s="265"/>
      <c r="L573" s="265">
        <v>7.5246000000000004</v>
      </c>
      <c r="M573" s="570"/>
      <c r="N573" s="570"/>
      <c r="O573" s="571"/>
      <c r="P573" s="571"/>
      <c r="Q573" s="571"/>
      <c r="R573" s="571"/>
      <c r="S573" s="566">
        <f t="shared" si="226"/>
        <v>7.5246000000000004</v>
      </c>
    </row>
    <row r="574" spans="1:19" s="80" customFormat="1" ht="63" x14ac:dyDescent="0.25">
      <c r="A574" s="391" t="s">
        <v>1167</v>
      </c>
      <c r="B574" s="497" t="s">
        <v>76</v>
      </c>
      <c r="C574" s="496" t="s">
        <v>25</v>
      </c>
      <c r="D574" s="497" t="s">
        <v>44</v>
      </c>
      <c r="E574" s="285" t="s">
        <v>1166</v>
      </c>
      <c r="F574" s="497" t="s">
        <v>9</v>
      </c>
      <c r="G574" s="283">
        <f t="shared" ref="G574:R574" si="272">G575</f>
        <v>0</v>
      </c>
      <c r="H574" s="283">
        <f t="shared" si="272"/>
        <v>0</v>
      </c>
      <c r="I574" s="283">
        <f t="shared" si="272"/>
        <v>0</v>
      </c>
      <c r="J574" s="283">
        <f t="shared" si="272"/>
        <v>0</v>
      </c>
      <c r="K574" s="283">
        <f t="shared" si="272"/>
        <v>24.713000000000001</v>
      </c>
      <c r="L574" s="283">
        <f t="shared" si="272"/>
        <v>-0.746</v>
      </c>
      <c r="M574" s="568">
        <f t="shared" si="272"/>
        <v>0</v>
      </c>
      <c r="N574" s="568">
        <f t="shared" si="272"/>
        <v>0</v>
      </c>
      <c r="O574" s="132">
        <f t="shared" si="272"/>
        <v>0</v>
      </c>
      <c r="P574" s="132">
        <f t="shared" si="272"/>
        <v>0</v>
      </c>
      <c r="Q574" s="132">
        <f t="shared" si="272"/>
        <v>0</v>
      </c>
      <c r="R574" s="132">
        <f t="shared" si="272"/>
        <v>0</v>
      </c>
      <c r="S574" s="132">
        <f t="shared" si="226"/>
        <v>23.967000000000002</v>
      </c>
    </row>
    <row r="575" spans="1:19" s="77" customFormat="1" ht="31.5" x14ac:dyDescent="0.25">
      <c r="A575" s="264" t="s">
        <v>124</v>
      </c>
      <c r="B575" s="380" t="s">
        <v>76</v>
      </c>
      <c r="C575" s="488" t="s">
        <v>25</v>
      </c>
      <c r="D575" s="380" t="s">
        <v>44</v>
      </c>
      <c r="E575" s="265" t="s">
        <v>1166</v>
      </c>
      <c r="F575" s="380" t="s">
        <v>117</v>
      </c>
      <c r="G575" s="282"/>
      <c r="H575" s="303"/>
      <c r="I575" s="265"/>
      <c r="J575" s="265"/>
      <c r="K575" s="418">
        <v>24.713000000000001</v>
      </c>
      <c r="L575" s="265">
        <v>-0.746</v>
      </c>
      <c r="M575" s="570"/>
      <c r="N575" s="570"/>
      <c r="O575" s="571"/>
      <c r="P575" s="571"/>
      <c r="Q575" s="571"/>
      <c r="R575" s="571"/>
      <c r="S575" s="566">
        <f t="shared" ref="S575:S647" si="273">G575+H575+I575+J575+K575+L575+M575+N575+O575+P575+Q575+R575</f>
        <v>23.967000000000002</v>
      </c>
    </row>
    <row r="576" spans="1:19" s="80" customFormat="1" ht="31.5" x14ac:dyDescent="0.25">
      <c r="A576" s="267" t="s">
        <v>1086</v>
      </c>
      <c r="B576" s="497" t="s">
        <v>76</v>
      </c>
      <c r="C576" s="496" t="s">
        <v>25</v>
      </c>
      <c r="D576" s="497" t="s">
        <v>44</v>
      </c>
      <c r="E576" s="285" t="s">
        <v>1087</v>
      </c>
      <c r="F576" s="497" t="s">
        <v>9</v>
      </c>
      <c r="G576" s="362">
        <f t="shared" ref="G576:R576" si="274">G577</f>
        <v>98.829599999999999</v>
      </c>
      <c r="H576" s="304">
        <f t="shared" si="274"/>
        <v>0</v>
      </c>
      <c r="I576" s="283">
        <f t="shared" si="274"/>
        <v>3.8231999999999999</v>
      </c>
      <c r="J576" s="283">
        <f t="shared" si="274"/>
        <v>0</v>
      </c>
      <c r="K576" s="283">
        <f t="shared" si="274"/>
        <v>0</v>
      </c>
      <c r="L576" s="283">
        <f t="shared" si="274"/>
        <v>0</v>
      </c>
      <c r="M576" s="568">
        <f t="shared" si="274"/>
        <v>0</v>
      </c>
      <c r="N576" s="568">
        <f t="shared" si="274"/>
        <v>0</v>
      </c>
      <c r="O576" s="132">
        <f t="shared" si="274"/>
        <v>0</v>
      </c>
      <c r="P576" s="132">
        <f t="shared" si="274"/>
        <v>0</v>
      </c>
      <c r="Q576" s="132">
        <f t="shared" si="274"/>
        <v>0</v>
      </c>
      <c r="R576" s="132">
        <f t="shared" si="274"/>
        <v>0</v>
      </c>
      <c r="S576" s="132">
        <f t="shared" si="273"/>
        <v>102.6528</v>
      </c>
    </row>
    <row r="577" spans="1:19" s="80" customFormat="1" ht="31.5" x14ac:dyDescent="0.25">
      <c r="A577" s="264" t="s">
        <v>124</v>
      </c>
      <c r="B577" s="380" t="s">
        <v>76</v>
      </c>
      <c r="C577" s="488" t="s">
        <v>25</v>
      </c>
      <c r="D577" s="380" t="s">
        <v>44</v>
      </c>
      <c r="E577" s="265" t="s">
        <v>1087</v>
      </c>
      <c r="F577" s="380" t="s">
        <v>117</v>
      </c>
      <c r="G577" s="361">
        <f>98.4+0.4296</f>
        <v>98.829599999999999</v>
      </c>
      <c r="H577" s="303"/>
      <c r="I577" s="265">
        <v>3.8231999999999999</v>
      </c>
      <c r="J577" s="265"/>
      <c r="K577" s="265"/>
      <c r="L577" s="265"/>
      <c r="M577" s="570"/>
      <c r="N577" s="570"/>
      <c r="O577" s="571"/>
      <c r="P577" s="571"/>
      <c r="Q577" s="571"/>
      <c r="R577" s="571"/>
      <c r="S577" s="566">
        <f t="shared" si="273"/>
        <v>102.6528</v>
      </c>
    </row>
    <row r="578" spans="1:19" s="80" customFormat="1" ht="31.5" x14ac:dyDescent="0.25">
      <c r="A578" s="267" t="s">
        <v>1086</v>
      </c>
      <c r="B578" s="642" t="s">
        <v>76</v>
      </c>
      <c r="C578" s="496" t="s">
        <v>25</v>
      </c>
      <c r="D578" s="642" t="s">
        <v>44</v>
      </c>
      <c r="E578" s="285" t="s">
        <v>1265</v>
      </c>
      <c r="F578" s="642" t="s">
        <v>9</v>
      </c>
      <c r="G578" s="362">
        <f>G579</f>
        <v>0</v>
      </c>
      <c r="H578" s="304">
        <f t="shared" ref="H578:R578" si="275">H579</f>
        <v>0</v>
      </c>
      <c r="I578" s="285">
        <f t="shared" si="275"/>
        <v>0</v>
      </c>
      <c r="J578" s="285">
        <f t="shared" si="275"/>
        <v>0</v>
      </c>
      <c r="K578" s="285">
        <f t="shared" si="275"/>
        <v>0</v>
      </c>
      <c r="L578" s="285">
        <f t="shared" si="275"/>
        <v>0</v>
      </c>
      <c r="M578" s="576">
        <f t="shared" si="275"/>
        <v>0</v>
      </c>
      <c r="N578" s="576">
        <f t="shared" si="275"/>
        <v>22.30987</v>
      </c>
      <c r="O578" s="600">
        <f t="shared" si="275"/>
        <v>0</v>
      </c>
      <c r="P578" s="600">
        <f t="shared" si="275"/>
        <v>0</v>
      </c>
      <c r="Q578" s="600">
        <f t="shared" si="275"/>
        <v>0</v>
      </c>
      <c r="R578" s="600">
        <f t="shared" si="275"/>
        <v>0</v>
      </c>
      <c r="S578" s="568">
        <f t="shared" si="273"/>
        <v>22.30987</v>
      </c>
    </row>
    <row r="579" spans="1:19" s="80" customFormat="1" ht="31.5" x14ac:dyDescent="0.25">
      <c r="A579" s="264" t="s">
        <v>124</v>
      </c>
      <c r="B579" s="380" t="s">
        <v>76</v>
      </c>
      <c r="C579" s="488" t="s">
        <v>25</v>
      </c>
      <c r="D579" s="380" t="s">
        <v>44</v>
      </c>
      <c r="E579" s="265" t="s">
        <v>1265</v>
      </c>
      <c r="F579" s="380" t="s">
        <v>117</v>
      </c>
      <c r="G579" s="361"/>
      <c r="H579" s="303"/>
      <c r="I579" s="265"/>
      <c r="J579" s="265"/>
      <c r="K579" s="265"/>
      <c r="L579" s="265"/>
      <c r="M579" s="570"/>
      <c r="N579" s="570">
        <v>22.30987</v>
      </c>
      <c r="O579" s="571"/>
      <c r="P579" s="571"/>
      <c r="Q579" s="571"/>
      <c r="R579" s="571"/>
      <c r="S579" s="566">
        <f t="shared" si="273"/>
        <v>22.30987</v>
      </c>
    </row>
    <row r="580" spans="1:19" s="80" customFormat="1" ht="31.5" x14ac:dyDescent="0.25">
      <c r="A580" s="267" t="s">
        <v>212</v>
      </c>
      <c r="B580" s="497" t="s">
        <v>76</v>
      </c>
      <c r="C580" s="496" t="s">
        <v>25</v>
      </c>
      <c r="D580" s="497" t="s">
        <v>44</v>
      </c>
      <c r="E580" s="285" t="s">
        <v>468</v>
      </c>
      <c r="F580" s="497" t="s">
        <v>9</v>
      </c>
      <c r="G580" s="283">
        <f t="shared" ref="G580:R580" si="276">G581</f>
        <v>1010.105</v>
      </c>
      <c r="H580" s="304">
        <f t="shared" si="276"/>
        <v>0</v>
      </c>
      <c r="I580" s="283">
        <f t="shared" si="276"/>
        <v>0</v>
      </c>
      <c r="J580" s="283">
        <f t="shared" si="276"/>
        <v>0</v>
      </c>
      <c r="K580" s="283">
        <f t="shared" si="276"/>
        <v>0</v>
      </c>
      <c r="L580" s="283">
        <f t="shared" si="276"/>
        <v>0</v>
      </c>
      <c r="M580" s="568">
        <f t="shared" si="276"/>
        <v>0</v>
      </c>
      <c r="N580" s="568">
        <f t="shared" si="276"/>
        <v>0</v>
      </c>
      <c r="O580" s="569">
        <f t="shared" si="276"/>
        <v>0</v>
      </c>
      <c r="P580" s="569">
        <f t="shared" si="276"/>
        <v>0</v>
      </c>
      <c r="Q580" s="569">
        <f t="shared" si="276"/>
        <v>0</v>
      </c>
      <c r="R580" s="569">
        <f t="shared" si="276"/>
        <v>0</v>
      </c>
      <c r="S580" s="132">
        <f t="shared" si="273"/>
        <v>1010.105</v>
      </c>
    </row>
    <row r="581" spans="1:19" s="77" customFormat="1" ht="31.5" x14ac:dyDescent="0.25">
      <c r="A581" s="264" t="s">
        <v>124</v>
      </c>
      <c r="B581" s="380" t="s">
        <v>76</v>
      </c>
      <c r="C581" s="488" t="s">
        <v>25</v>
      </c>
      <c r="D581" s="380" t="s">
        <v>44</v>
      </c>
      <c r="E581" s="265" t="s">
        <v>468</v>
      </c>
      <c r="F581" s="380" t="s">
        <v>117</v>
      </c>
      <c r="G581" s="300">
        <f>1009+1.105</f>
        <v>1010.105</v>
      </c>
      <c r="H581" s="303"/>
      <c r="I581" s="265"/>
      <c r="J581" s="282"/>
      <c r="K581" s="265"/>
      <c r="L581" s="265"/>
      <c r="M581" s="570"/>
      <c r="N581" s="570"/>
      <c r="O581" s="571"/>
      <c r="P581" s="571"/>
      <c r="Q581" s="571"/>
      <c r="R581" s="571"/>
      <c r="S581" s="566">
        <f t="shared" si="273"/>
        <v>1010.105</v>
      </c>
    </row>
    <row r="582" spans="1:19" s="77" customFormat="1" ht="31.5" x14ac:dyDescent="0.25">
      <c r="A582" s="267" t="s">
        <v>212</v>
      </c>
      <c r="B582" s="497" t="s">
        <v>76</v>
      </c>
      <c r="C582" s="496" t="s">
        <v>25</v>
      </c>
      <c r="D582" s="497" t="s">
        <v>44</v>
      </c>
      <c r="E582" s="285" t="s">
        <v>976</v>
      </c>
      <c r="F582" s="497" t="s">
        <v>9</v>
      </c>
      <c r="G582" s="283">
        <f t="shared" ref="G582:R582" si="277">G583+G584</f>
        <v>0</v>
      </c>
      <c r="H582" s="304">
        <f t="shared" si="277"/>
        <v>2485.9654</v>
      </c>
      <c r="I582" s="283">
        <f t="shared" si="277"/>
        <v>-3.8231999999999999</v>
      </c>
      <c r="J582" s="283">
        <f t="shared" si="277"/>
        <v>109.85</v>
      </c>
      <c r="K582" s="283">
        <f t="shared" si="277"/>
        <v>-24.713000000000001</v>
      </c>
      <c r="L582" s="283">
        <f t="shared" si="277"/>
        <v>-6.7785999999999831</v>
      </c>
      <c r="M582" s="568">
        <f t="shared" si="277"/>
        <v>-160.6</v>
      </c>
      <c r="N582" s="568">
        <f t="shared" si="277"/>
        <v>-22.309869999999989</v>
      </c>
      <c r="O582" s="569">
        <f t="shared" si="277"/>
        <v>0</v>
      </c>
      <c r="P582" s="569">
        <f t="shared" si="277"/>
        <v>0</v>
      </c>
      <c r="Q582" s="569">
        <f t="shared" si="277"/>
        <v>0</v>
      </c>
      <c r="R582" s="569">
        <f t="shared" si="277"/>
        <v>0</v>
      </c>
      <c r="S582" s="132">
        <f t="shared" si="273"/>
        <v>2377.5907299999999</v>
      </c>
    </row>
    <row r="583" spans="1:19" s="77" customFormat="1" ht="31.5" x14ac:dyDescent="0.25">
      <c r="A583" s="264" t="s">
        <v>124</v>
      </c>
      <c r="B583" s="380" t="s">
        <v>76</v>
      </c>
      <c r="C583" s="488" t="s">
        <v>25</v>
      </c>
      <c r="D583" s="380" t="s">
        <v>44</v>
      </c>
      <c r="E583" s="265" t="s">
        <v>976</v>
      </c>
      <c r="F583" s="380" t="s">
        <v>117</v>
      </c>
      <c r="G583" s="282"/>
      <c r="H583" s="361">
        <f>2390.7-15-0.4296-1.105</f>
        <v>2374.1653999999999</v>
      </c>
      <c r="I583" s="265">
        <v>-3.8231999999999999</v>
      </c>
      <c r="J583" s="303">
        <v>109.85</v>
      </c>
      <c r="K583" s="418">
        <v>-24.713000000000001</v>
      </c>
      <c r="L583" s="265">
        <f>-800-6.7786</f>
        <v>-806.77859999999998</v>
      </c>
      <c r="M583" s="570">
        <v>-160.6</v>
      </c>
      <c r="N583" s="570">
        <f>-150-22.30987</f>
        <v>-172.30986999999999</v>
      </c>
      <c r="O583" s="571"/>
      <c r="P583" s="571"/>
      <c r="Q583" s="571"/>
      <c r="R583" s="571"/>
      <c r="S583" s="566">
        <f t="shared" si="273"/>
        <v>1315.7907299999997</v>
      </c>
    </row>
    <row r="584" spans="1:19" s="77" customFormat="1" x14ac:dyDescent="0.25">
      <c r="A584" s="264" t="s">
        <v>123</v>
      </c>
      <c r="B584" s="380" t="s">
        <v>76</v>
      </c>
      <c r="C584" s="488" t="s">
        <v>25</v>
      </c>
      <c r="D584" s="380" t="s">
        <v>44</v>
      </c>
      <c r="E584" s="265" t="s">
        <v>976</v>
      </c>
      <c r="F584" s="380" t="s">
        <v>119</v>
      </c>
      <c r="G584" s="282"/>
      <c r="H584" s="303">
        <v>111.8</v>
      </c>
      <c r="I584" s="265"/>
      <c r="J584" s="282"/>
      <c r="K584" s="265"/>
      <c r="L584" s="265">
        <v>800</v>
      </c>
      <c r="M584" s="570"/>
      <c r="N584" s="570">
        <v>150</v>
      </c>
      <c r="O584" s="571"/>
      <c r="P584" s="571"/>
      <c r="Q584" s="571"/>
      <c r="R584" s="571"/>
      <c r="S584" s="566">
        <f t="shared" si="273"/>
        <v>1061.8</v>
      </c>
    </row>
    <row r="585" spans="1:19" s="80" customFormat="1" ht="15.6" hidden="1" x14ac:dyDescent="0.3">
      <c r="A585" s="267" t="s">
        <v>39</v>
      </c>
      <c r="B585" s="497">
        <v>936</v>
      </c>
      <c r="C585" s="496" t="s">
        <v>25</v>
      </c>
      <c r="D585" s="497" t="s">
        <v>44</v>
      </c>
      <c r="E585" s="285" t="s">
        <v>977</v>
      </c>
      <c r="F585" s="497" t="s">
        <v>9</v>
      </c>
      <c r="G585" s="283">
        <f t="shared" ref="G585:R586" si="278">G586</f>
        <v>0</v>
      </c>
      <c r="H585" s="304">
        <f t="shared" si="278"/>
        <v>0</v>
      </c>
      <c r="I585" s="283">
        <f t="shared" si="278"/>
        <v>0</v>
      </c>
      <c r="J585" s="283">
        <f t="shared" si="278"/>
        <v>0</v>
      </c>
      <c r="K585" s="283">
        <f t="shared" si="278"/>
        <v>0</v>
      </c>
      <c r="L585" s="283">
        <f t="shared" si="278"/>
        <v>0</v>
      </c>
      <c r="M585" s="568">
        <f t="shared" si="278"/>
        <v>0</v>
      </c>
      <c r="N585" s="568">
        <f t="shared" si="278"/>
        <v>0</v>
      </c>
      <c r="O585" s="569">
        <f t="shared" si="278"/>
        <v>0</v>
      </c>
      <c r="P585" s="569">
        <f t="shared" si="278"/>
        <v>0</v>
      </c>
      <c r="Q585" s="569">
        <f t="shared" si="278"/>
        <v>0</v>
      </c>
      <c r="R585" s="569">
        <f t="shared" si="278"/>
        <v>0</v>
      </c>
      <c r="S585" s="131">
        <f t="shared" si="273"/>
        <v>0</v>
      </c>
    </row>
    <row r="586" spans="1:19" s="80" customFormat="1" ht="15.6" hidden="1" x14ac:dyDescent="0.3">
      <c r="A586" s="267" t="s">
        <v>978</v>
      </c>
      <c r="B586" s="497" t="s">
        <v>76</v>
      </c>
      <c r="C586" s="496" t="s">
        <v>25</v>
      </c>
      <c r="D586" s="497" t="s">
        <v>44</v>
      </c>
      <c r="E586" s="285" t="s">
        <v>979</v>
      </c>
      <c r="F586" s="497" t="s">
        <v>9</v>
      </c>
      <c r="G586" s="283">
        <f t="shared" si="278"/>
        <v>0</v>
      </c>
      <c r="H586" s="304">
        <f t="shared" si="278"/>
        <v>0</v>
      </c>
      <c r="I586" s="283">
        <f t="shared" si="278"/>
        <v>0</v>
      </c>
      <c r="J586" s="283">
        <f t="shared" si="278"/>
        <v>0</v>
      </c>
      <c r="K586" s="283">
        <f t="shared" si="278"/>
        <v>0</v>
      </c>
      <c r="L586" s="283">
        <f t="shared" si="278"/>
        <v>0</v>
      </c>
      <c r="M586" s="568">
        <f t="shared" si="278"/>
        <v>0</v>
      </c>
      <c r="N586" s="568">
        <f t="shared" si="278"/>
        <v>0</v>
      </c>
      <c r="O586" s="569">
        <f t="shared" si="278"/>
        <v>0</v>
      </c>
      <c r="P586" s="569">
        <f t="shared" si="278"/>
        <v>0</v>
      </c>
      <c r="Q586" s="569">
        <f t="shared" si="278"/>
        <v>0</v>
      </c>
      <c r="R586" s="569">
        <f t="shared" si="278"/>
        <v>0</v>
      </c>
      <c r="S586" s="131">
        <f t="shared" si="273"/>
        <v>0</v>
      </c>
    </row>
    <row r="587" spans="1:19" s="77" customFormat="1" ht="31.15" hidden="1" x14ac:dyDescent="0.3">
      <c r="A587" s="264" t="s">
        <v>124</v>
      </c>
      <c r="B587" s="380" t="s">
        <v>76</v>
      </c>
      <c r="C587" s="488" t="s">
        <v>25</v>
      </c>
      <c r="D587" s="380" t="s">
        <v>44</v>
      </c>
      <c r="E587" s="265" t="s">
        <v>979</v>
      </c>
      <c r="F587" s="380" t="s">
        <v>117</v>
      </c>
      <c r="G587" s="282"/>
      <c r="H587" s="303"/>
      <c r="I587" s="393"/>
      <c r="J587" s="282"/>
      <c r="K587" s="265"/>
      <c r="L587" s="265"/>
      <c r="M587" s="570"/>
      <c r="N587" s="570"/>
      <c r="O587" s="571"/>
      <c r="P587" s="571"/>
      <c r="Q587" s="571"/>
      <c r="R587" s="571"/>
      <c r="S587" s="131">
        <f t="shared" si="273"/>
        <v>0</v>
      </c>
    </row>
    <row r="588" spans="1:19" s="80" customFormat="1" x14ac:dyDescent="0.25">
      <c r="A588" s="267" t="s">
        <v>1246</v>
      </c>
      <c r="B588" s="620">
        <v>936</v>
      </c>
      <c r="C588" s="621" t="s">
        <v>25</v>
      </c>
      <c r="D588" s="621" t="s">
        <v>44</v>
      </c>
      <c r="E588" s="621" t="s">
        <v>1245</v>
      </c>
      <c r="F588" s="621" t="s">
        <v>9</v>
      </c>
      <c r="G588" s="283">
        <f>G589</f>
        <v>0</v>
      </c>
      <c r="H588" s="283">
        <f t="shared" ref="H588:R588" si="279">H589</f>
        <v>0</v>
      </c>
      <c r="I588" s="283">
        <f t="shared" si="279"/>
        <v>0</v>
      </c>
      <c r="J588" s="283">
        <f t="shared" si="279"/>
        <v>0</v>
      </c>
      <c r="K588" s="283">
        <f t="shared" si="279"/>
        <v>0</v>
      </c>
      <c r="L588" s="283">
        <f t="shared" si="279"/>
        <v>0</v>
      </c>
      <c r="M588" s="283">
        <f t="shared" si="279"/>
        <v>0</v>
      </c>
      <c r="N588" s="132">
        <f t="shared" si="279"/>
        <v>348.1</v>
      </c>
      <c r="O588" s="132">
        <f t="shared" si="279"/>
        <v>0</v>
      </c>
      <c r="P588" s="132">
        <f t="shared" si="279"/>
        <v>0</v>
      </c>
      <c r="Q588" s="132">
        <f t="shared" si="279"/>
        <v>0</v>
      </c>
      <c r="R588" s="132">
        <f t="shared" si="279"/>
        <v>0</v>
      </c>
      <c r="S588" s="132">
        <f t="shared" si="273"/>
        <v>348.1</v>
      </c>
    </row>
    <row r="589" spans="1:19" s="77" customFormat="1" ht="31.5" x14ac:dyDescent="0.25">
      <c r="A589" s="264" t="s">
        <v>124</v>
      </c>
      <c r="B589" s="380">
        <v>936</v>
      </c>
      <c r="C589" s="75" t="s">
        <v>25</v>
      </c>
      <c r="D589" s="75" t="s">
        <v>44</v>
      </c>
      <c r="E589" s="75" t="s">
        <v>1245</v>
      </c>
      <c r="F589" s="75" t="s">
        <v>117</v>
      </c>
      <c r="G589" s="282"/>
      <c r="H589" s="303"/>
      <c r="I589" s="393"/>
      <c r="J589" s="282"/>
      <c r="K589" s="265"/>
      <c r="L589" s="265"/>
      <c r="M589" s="570"/>
      <c r="N589" s="653">
        <v>348.1</v>
      </c>
      <c r="O589" s="571"/>
      <c r="P589" s="571"/>
      <c r="Q589" s="571"/>
      <c r="R589" s="571"/>
      <c r="S589" s="566">
        <f t="shared" si="273"/>
        <v>348.1</v>
      </c>
    </row>
    <row r="590" spans="1:19" s="80" customFormat="1" ht="31.5" x14ac:dyDescent="0.25">
      <c r="A590" s="267" t="s">
        <v>86</v>
      </c>
      <c r="B590" s="497" t="s">
        <v>76</v>
      </c>
      <c r="C590" s="496" t="s">
        <v>25</v>
      </c>
      <c r="D590" s="497" t="s">
        <v>44</v>
      </c>
      <c r="E590" s="285" t="s">
        <v>440</v>
      </c>
      <c r="F590" s="497" t="s">
        <v>9</v>
      </c>
      <c r="G590" s="283">
        <f t="shared" ref="G590:R590" si="280">G591+G592</f>
        <v>0</v>
      </c>
      <c r="H590" s="304">
        <f t="shared" si="280"/>
        <v>15</v>
      </c>
      <c r="I590" s="283">
        <f t="shared" si="280"/>
        <v>0</v>
      </c>
      <c r="J590" s="283">
        <f t="shared" si="280"/>
        <v>0</v>
      </c>
      <c r="K590" s="283">
        <f t="shared" si="280"/>
        <v>0</v>
      </c>
      <c r="L590" s="283">
        <f t="shared" si="280"/>
        <v>0</v>
      </c>
      <c r="M590" s="568">
        <f t="shared" si="280"/>
        <v>0</v>
      </c>
      <c r="N590" s="568">
        <f t="shared" si="280"/>
        <v>0</v>
      </c>
      <c r="O590" s="569">
        <f t="shared" si="280"/>
        <v>0</v>
      </c>
      <c r="P590" s="569">
        <f t="shared" si="280"/>
        <v>0</v>
      </c>
      <c r="Q590" s="569">
        <f t="shared" si="280"/>
        <v>0</v>
      </c>
      <c r="R590" s="569">
        <f t="shared" si="280"/>
        <v>0</v>
      </c>
      <c r="S590" s="132">
        <f t="shared" si="273"/>
        <v>15</v>
      </c>
    </row>
    <row r="591" spans="1:19" s="80" customFormat="1" ht="31.5" x14ac:dyDescent="0.25">
      <c r="A591" s="264" t="s">
        <v>124</v>
      </c>
      <c r="B591" s="380" t="s">
        <v>76</v>
      </c>
      <c r="C591" s="488" t="s">
        <v>25</v>
      </c>
      <c r="D591" s="380" t="s">
        <v>44</v>
      </c>
      <c r="E591" s="265" t="s">
        <v>440</v>
      </c>
      <c r="F591" s="380" t="s">
        <v>117</v>
      </c>
      <c r="G591" s="282"/>
      <c r="H591" s="303">
        <v>15</v>
      </c>
      <c r="I591" s="265"/>
      <c r="J591" s="282"/>
      <c r="K591" s="265"/>
      <c r="L591" s="265"/>
      <c r="M591" s="570"/>
      <c r="N591" s="570"/>
      <c r="O591" s="571"/>
      <c r="P591" s="571"/>
      <c r="Q591" s="571"/>
      <c r="R591" s="571"/>
      <c r="S591" s="566">
        <f t="shared" si="273"/>
        <v>15</v>
      </c>
    </row>
    <row r="592" spans="1:19" s="77" customFormat="1" ht="15.6" hidden="1" x14ac:dyDescent="0.3">
      <c r="A592" s="264" t="s">
        <v>123</v>
      </c>
      <c r="B592" s="380" t="s">
        <v>76</v>
      </c>
      <c r="C592" s="488" t="s">
        <v>25</v>
      </c>
      <c r="D592" s="380" t="s">
        <v>44</v>
      </c>
      <c r="E592" s="265" t="s">
        <v>440</v>
      </c>
      <c r="F592" s="380" t="s">
        <v>119</v>
      </c>
      <c r="G592" s="282"/>
      <c r="H592" s="303"/>
      <c r="I592" s="265"/>
      <c r="J592" s="265"/>
      <c r="K592" s="265"/>
      <c r="L592" s="265"/>
      <c r="M592" s="570"/>
      <c r="N592" s="570"/>
      <c r="O592" s="571"/>
      <c r="P592" s="571"/>
      <c r="Q592" s="571"/>
      <c r="R592" s="571"/>
      <c r="S592" s="131">
        <f t="shared" si="273"/>
        <v>0</v>
      </c>
    </row>
    <row r="593" spans="1:37" s="80" customFormat="1" x14ac:dyDescent="0.25">
      <c r="A593" s="267" t="s">
        <v>73</v>
      </c>
      <c r="B593" s="497" t="s">
        <v>76</v>
      </c>
      <c r="C593" s="496" t="s">
        <v>25</v>
      </c>
      <c r="D593" s="497" t="s">
        <v>74</v>
      </c>
      <c r="E593" s="285" t="s">
        <v>365</v>
      </c>
      <c r="F593" s="497" t="s">
        <v>9</v>
      </c>
      <c r="G593" s="283">
        <f t="shared" ref="G593:R593" si="281">G602+G614+G594</f>
        <v>208</v>
      </c>
      <c r="H593" s="283">
        <f t="shared" si="281"/>
        <v>189.9</v>
      </c>
      <c r="I593" s="283">
        <f t="shared" si="281"/>
        <v>0</v>
      </c>
      <c r="J593" s="283">
        <f t="shared" si="281"/>
        <v>0</v>
      </c>
      <c r="K593" s="283">
        <f t="shared" si="281"/>
        <v>0</v>
      </c>
      <c r="L593" s="283">
        <f t="shared" si="281"/>
        <v>15</v>
      </c>
      <c r="M593" s="568">
        <f t="shared" si="281"/>
        <v>320</v>
      </c>
      <c r="N593" s="568">
        <f t="shared" si="281"/>
        <v>-23.1</v>
      </c>
      <c r="O593" s="132">
        <f t="shared" si="281"/>
        <v>0</v>
      </c>
      <c r="P593" s="132">
        <f t="shared" si="281"/>
        <v>0</v>
      </c>
      <c r="Q593" s="132">
        <f t="shared" si="281"/>
        <v>0</v>
      </c>
      <c r="R593" s="132">
        <f t="shared" si="281"/>
        <v>0</v>
      </c>
      <c r="S593" s="132">
        <f t="shared" si="273"/>
        <v>709.8</v>
      </c>
    </row>
    <row r="594" spans="1:37" s="80" customFormat="1" ht="31.5" x14ac:dyDescent="0.25">
      <c r="A594" s="267" t="s">
        <v>786</v>
      </c>
      <c r="B594" s="497" t="s">
        <v>76</v>
      </c>
      <c r="C594" s="496" t="s">
        <v>25</v>
      </c>
      <c r="D594" s="497" t="s">
        <v>74</v>
      </c>
      <c r="E594" s="285" t="s">
        <v>405</v>
      </c>
      <c r="F594" s="497" t="s">
        <v>9</v>
      </c>
      <c r="G594" s="283">
        <f t="shared" ref="G594:R594" si="282">G595+G598+G600</f>
        <v>208</v>
      </c>
      <c r="H594" s="283">
        <f t="shared" si="282"/>
        <v>189.9</v>
      </c>
      <c r="I594" s="283">
        <f t="shared" si="282"/>
        <v>0</v>
      </c>
      <c r="J594" s="283">
        <f t="shared" si="282"/>
        <v>0</v>
      </c>
      <c r="K594" s="283">
        <f t="shared" si="282"/>
        <v>0</v>
      </c>
      <c r="L594" s="283">
        <f t="shared" si="282"/>
        <v>0</v>
      </c>
      <c r="M594" s="568">
        <f t="shared" si="282"/>
        <v>0</v>
      </c>
      <c r="N594" s="568">
        <f t="shared" si="282"/>
        <v>-23.1</v>
      </c>
      <c r="O594" s="132">
        <f t="shared" si="282"/>
        <v>0</v>
      </c>
      <c r="P594" s="132">
        <f t="shared" si="282"/>
        <v>0</v>
      </c>
      <c r="Q594" s="132">
        <f t="shared" si="282"/>
        <v>0</v>
      </c>
      <c r="R594" s="132">
        <f t="shared" si="282"/>
        <v>0</v>
      </c>
      <c r="S594" s="132">
        <f t="shared" si="273"/>
        <v>374.79999999999995</v>
      </c>
    </row>
    <row r="595" spans="1:37" s="80" customFormat="1" ht="47.25" x14ac:dyDescent="0.25">
      <c r="A595" s="267" t="s">
        <v>41</v>
      </c>
      <c r="B595" s="497" t="s">
        <v>76</v>
      </c>
      <c r="C595" s="496" t="s">
        <v>25</v>
      </c>
      <c r="D595" s="497" t="s">
        <v>74</v>
      </c>
      <c r="E595" s="285" t="s">
        <v>1115</v>
      </c>
      <c r="F595" s="497" t="s">
        <v>9</v>
      </c>
      <c r="G595" s="283">
        <f t="shared" ref="G595:R596" si="283">G596</f>
        <v>166.4</v>
      </c>
      <c r="H595" s="283">
        <f t="shared" si="283"/>
        <v>0</v>
      </c>
      <c r="I595" s="283">
        <f t="shared" si="283"/>
        <v>0</v>
      </c>
      <c r="J595" s="283">
        <f t="shared" si="283"/>
        <v>0</v>
      </c>
      <c r="K595" s="283">
        <f t="shared" si="283"/>
        <v>0</v>
      </c>
      <c r="L595" s="283">
        <f t="shared" si="283"/>
        <v>0</v>
      </c>
      <c r="M595" s="568">
        <f t="shared" si="283"/>
        <v>0</v>
      </c>
      <c r="N595" s="568">
        <f t="shared" si="283"/>
        <v>0</v>
      </c>
      <c r="O595" s="132">
        <f t="shared" si="283"/>
        <v>0</v>
      </c>
      <c r="P595" s="132">
        <f t="shared" si="283"/>
        <v>0</v>
      </c>
      <c r="Q595" s="132">
        <f t="shared" si="283"/>
        <v>0</v>
      </c>
      <c r="R595" s="132">
        <f t="shared" si="283"/>
        <v>0</v>
      </c>
      <c r="S595" s="132">
        <f t="shared" si="273"/>
        <v>166.4</v>
      </c>
    </row>
    <row r="596" spans="1:37" s="80" customFormat="1" x14ac:dyDescent="0.25">
      <c r="A596" s="267" t="s">
        <v>859</v>
      </c>
      <c r="B596" s="497" t="s">
        <v>76</v>
      </c>
      <c r="C596" s="496" t="s">
        <v>25</v>
      </c>
      <c r="D596" s="497" t="s">
        <v>74</v>
      </c>
      <c r="E596" s="285" t="s">
        <v>1116</v>
      </c>
      <c r="F596" s="497" t="s">
        <v>9</v>
      </c>
      <c r="G596" s="283">
        <f t="shared" si="283"/>
        <v>166.4</v>
      </c>
      <c r="H596" s="283">
        <f t="shared" si="283"/>
        <v>0</v>
      </c>
      <c r="I596" s="283">
        <f t="shared" si="283"/>
        <v>0</v>
      </c>
      <c r="J596" s="283">
        <f t="shared" si="283"/>
        <v>0</v>
      </c>
      <c r="K596" s="283">
        <f t="shared" si="283"/>
        <v>0</v>
      </c>
      <c r="L596" s="283">
        <f t="shared" si="283"/>
        <v>0</v>
      </c>
      <c r="M596" s="568">
        <f t="shared" si="283"/>
        <v>0</v>
      </c>
      <c r="N596" s="568">
        <f t="shared" si="283"/>
        <v>0</v>
      </c>
      <c r="O596" s="132">
        <f t="shared" si="283"/>
        <v>0</v>
      </c>
      <c r="P596" s="132">
        <f t="shared" si="283"/>
        <v>0</v>
      </c>
      <c r="Q596" s="132">
        <f t="shared" si="283"/>
        <v>0</v>
      </c>
      <c r="R596" s="132">
        <f t="shared" si="283"/>
        <v>0</v>
      </c>
      <c r="S596" s="132">
        <f t="shared" si="273"/>
        <v>166.4</v>
      </c>
    </row>
    <row r="597" spans="1:37" s="80" customFormat="1" ht="31.5" x14ac:dyDescent="0.25">
      <c r="A597" s="264" t="s">
        <v>124</v>
      </c>
      <c r="B597" s="380" t="s">
        <v>76</v>
      </c>
      <c r="C597" s="488" t="s">
        <v>25</v>
      </c>
      <c r="D597" s="380" t="s">
        <v>74</v>
      </c>
      <c r="E597" s="265" t="s">
        <v>1116</v>
      </c>
      <c r="F597" s="380" t="s">
        <v>117</v>
      </c>
      <c r="G597" s="282">
        <v>166.4</v>
      </c>
      <c r="H597" s="304"/>
      <c r="I597" s="283"/>
      <c r="J597" s="283"/>
      <c r="K597" s="283"/>
      <c r="L597" s="283"/>
      <c r="M597" s="568"/>
      <c r="N597" s="568"/>
      <c r="O597" s="569"/>
      <c r="P597" s="569"/>
      <c r="Q597" s="569"/>
      <c r="R597" s="569"/>
      <c r="S597" s="566">
        <f t="shared" si="273"/>
        <v>166.4</v>
      </c>
    </row>
    <row r="598" spans="1:37" s="80" customFormat="1" x14ac:dyDescent="0.25">
      <c r="A598" s="267" t="s">
        <v>859</v>
      </c>
      <c r="B598" s="497" t="s">
        <v>76</v>
      </c>
      <c r="C598" s="496" t="s">
        <v>25</v>
      </c>
      <c r="D598" s="497" t="s">
        <v>74</v>
      </c>
      <c r="E598" s="285" t="s">
        <v>1117</v>
      </c>
      <c r="F598" s="497" t="s">
        <v>9</v>
      </c>
      <c r="G598" s="283">
        <f t="shared" ref="G598:R598" si="284">G599</f>
        <v>41.6</v>
      </c>
      <c r="H598" s="283">
        <f t="shared" si="284"/>
        <v>0</v>
      </c>
      <c r="I598" s="283">
        <f t="shared" si="284"/>
        <v>0</v>
      </c>
      <c r="J598" s="283">
        <f t="shared" si="284"/>
        <v>0</v>
      </c>
      <c r="K598" s="283">
        <f t="shared" si="284"/>
        <v>0</v>
      </c>
      <c r="L598" s="283">
        <f t="shared" si="284"/>
        <v>0</v>
      </c>
      <c r="M598" s="568">
        <f t="shared" si="284"/>
        <v>0</v>
      </c>
      <c r="N598" s="568">
        <f t="shared" si="284"/>
        <v>0</v>
      </c>
      <c r="O598" s="132">
        <f t="shared" si="284"/>
        <v>0</v>
      </c>
      <c r="P598" s="132">
        <f t="shared" si="284"/>
        <v>0</v>
      </c>
      <c r="Q598" s="132">
        <f t="shared" si="284"/>
        <v>0</v>
      </c>
      <c r="R598" s="132">
        <f t="shared" si="284"/>
        <v>0</v>
      </c>
      <c r="S598" s="132">
        <f t="shared" si="273"/>
        <v>41.6</v>
      </c>
    </row>
    <row r="599" spans="1:37" s="80" customFormat="1" ht="31.5" x14ac:dyDescent="0.25">
      <c r="A599" s="264" t="s">
        <v>124</v>
      </c>
      <c r="B599" s="380" t="s">
        <v>76</v>
      </c>
      <c r="C599" s="488" t="s">
        <v>25</v>
      </c>
      <c r="D599" s="380" t="s">
        <v>74</v>
      </c>
      <c r="E599" s="265" t="s">
        <v>1117</v>
      </c>
      <c r="F599" s="380" t="s">
        <v>117</v>
      </c>
      <c r="G599" s="282">
        <v>41.6</v>
      </c>
      <c r="H599" s="304"/>
      <c r="I599" s="283"/>
      <c r="J599" s="283"/>
      <c r="K599" s="283"/>
      <c r="L599" s="283"/>
      <c r="M599" s="568"/>
      <c r="N599" s="568"/>
      <c r="O599" s="569"/>
      <c r="P599" s="569"/>
      <c r="Q599" s="569"/>
      <c r="R599" s="569"/>
      <c r="S599" s="566">
        <f t="shared" si="273"/>
        <v>41.6</v>
      </c>
    </row>
    <row r="600" spans="1:37" s="80" customFormat="1" ht="31.5" x14ac:dyDescent="0.25">
      <c r="A600" s="267" t="s">
        <v>71</v>
      </c>
      <c r="B600" s="497" t="s">
        <v>76</v>
      </c>
      <c r="C600" s="496" t="s">
        <v>25</v>
      </c>
      <c r="D600" s="497" t="s">
        <v>74</v>
      </c>
      <c r="E600" s="285" t="s">
        <v>413</v>
      </c>
      <c r="F600" s="497" t="s">
        <v>9</v>
      </c>
      <c r="G600" s="283">
        <f t="shared" ref="G600:R600" si="285">G601</f>
        <v>0</v>
      </c>
      <c r="H600" s="283">
        <f t="shared" si="285"/>
        <v>189.9</v>
      </c>
      <c r="I600" s="283">
        <f t="shared" si="285"/>
        <v>0</v>
      </c>
      <c r="J600" s="283">
        <f t="shared" si="285"/>
        <v>0</v>
      </c>
      <c r="K600" s="283">
        <f t="shared" si="285"/>
        <v>0</v>
      </c>
      <c r="L600" s="283">
        <f t="shared" si="285"/>
        <v>0</v>
      </c>
      <c r="M600" s="568">
        <f t="shared" si="285"/>
        <v>0</v>
      </c>
      <c r="N600" s="568">
        <f t="shared" si="285"/>
        <v>-23.1</v>
      </c>
      <c r="O600" s="569">
        <f t="shared" si="285"/>
        <v>0</v>
      </c>
      <c r="P600" s="569">
        <f t="shared" si="285"/>
        <v>0</v>
      </c>
      <c r="Q600" s="569">
        <f t="shared" si="285"/>
        <v>0</v>
      </c>
      <c r="R600" s="569">
        <f t="shared" si="285"/>
        <v>0</v>
      </c>
      <c r="S600" s="132">
        <f t="shared" si="273"/>
        <v>166.8</v>
      </c>
    </row>
    <row r="601" spans="1:37" s="77" customFormat="1" ht="31.5" x14ac:dyDescent="0.25">
      <c r="A601" s="264" t="s">
        <v>124</v>
      </c>
      <c r="B601" s="380" t="s">
        <v>76</v>
      </c>
      <c r="C601" s="488" t="s">
        <v>25</v>
      </c>
      <c r="D601" s="380" t="s">
        <v>74</v>
      </c>
      <c r="E601" s="265" t="s">
        <v>413</v>
      </c>
      <c r="F601" s="380" t="s">
        <v>117</v>
      </c>
      <c r="G601" s="282"/>
      <c r="H601" s="303">
        <v>189.9</v>
      </c>
      <c r="I601" s="265"/>
      <c r="J601" s="282"/>
      <c r="K601" s="265"/>
      <c r="L601" s="282"/>
      <c r="M601" s="570"/>
      <c r="N601" s="570">
        <v>-23.1</v>
      </c>
      <c r="O601" s="571"/>
      <c r="P601" s="571"/>
      <c r="Q601" s="571"/>
      <c r="R601" s="571"/>
      <c r="S601" s="566">
        <f t="shared" si="273"/>
        <v>166.8</v>
      </c>
    </row>
    <row r="602" spans="1:37" s="80" customFormat="1" ht="31.5" x14ac:dyDescent="0.25">
      <c r="A602" s="267" t="s">
        <v>784</v>
      </c>
      <c r="B602" s="497" t="s">
        <v>76</v>
      </c>
      <c r="C602" s="496" t="s">
        <v>25</v>
      </c>
      <c r="D602" s="497" t="s">
        <v>74</v>
      </c>
      <c r="E602" s="285" t="s">
        <v>380</v>
      </c>
      <c r="F602" s="497" t="s">
        <v>9</v>
      </c>
      <c r="G602" s="283">
        <f>G608+G611+G603+G606</f>
        <v>0</v>
      </c>
      <c r="H602" s="283">
        <f t="shared" ref="H602:R602" si="286">H608+H611+H603+H606</f>
        <v>0</v>
      </c>
      <c r="I602" s="283">
        <f t="shared" si="286"/>
        <v>0</v>
      </c>
      <c r="J602" s="283">
        <f t="shared" si="286"/>
        <v>0</v>
      </c>
      <c r="K602" s="283">
        <f t="shared" si="286"/>
        <v>0</v>
      </c>
      <c r="L602" s="283">
        <f t="shared" si="286"/>
        <v>15</v>
      </c>
      <c r="M602" s="132">
        <f>M608+M611+M603+M606</f>
        <v>320</v>
      </c>
      <c r="N602" s="568">
        <f t="shared" si="286"/>
        <v>0</v>
      </c>
      <c r="O602" s="132">
        <f t="shared" si="286"/>
        <v>0</v>
      </c>
      <c r="P602" s="132">
        <f t="shared" si="286"/>
        <v>0</v>
      </c>
      <c r="Q602" s="132">
        <f t="shared" si="286"/>
        <v>0</v>
      </c>
      <c r="R602" s="132">
        <f t="shared" si="286"/>
        <v>0</v>
      </c>
      <c r="S602" s="132">
        <f t="shared" si="273"/>
        <v>335</v>
      </c>
    </row>
    <row r="603" spans="1:37" s="80" customFormat="1" ht="47.25" x14ac:dyDescent="0.25">
      <c r="A603" s="267" t="s">
        <v>41</v>
      </c>
      <c r="B603" s="544">
        <v>936</v>
      </c>
      <c r="C603" s="545" t="s">
        <v>25</v>
      </c>
      <c r="D603" s="545" t="s">
        <v>74</v>
      </c>
      <c r="E603" s="545" t="s">
        <v>414</v>
      </c>
      <c r="F603" s="545" t="s">
        <v>9</v>
      </c>
      <c r="G603" s="283">
        <f>G604</f>
        <v>0</v>
      </c>
      <c r="H603" s="283">
        <f t="shared" ref="H603:R604" si="287">H604</f>
        <v>0</v>
      </c>
      <c r="I603" s="283">
        <f t="shared" si="287"/>
        <v>0</v>
      </c>
      <c r="J603" s="283">
        <f t="shared" si="287"/>
        <v>0</v>
      </c>
      <c r="K603" s="283">
        <f t="shared" si="287"/>
        <v>0</v>
      </c>
      <c r="L603" s="283">
        <f t="shared" si="287"/>
        <v>0</v>
      </c>
      <c r="M603" s="132">
        <f t="shared" si="287"/>
        <v>288</v>
      </c>
      <c r="N603" s="568">
        <f t="shared" si="287"/>
        <v>0</v>
      </c>
      <c r="O603" s="132">
        <f t="shared" si="287"/>
        <v>0</v>
      </c>
      <c r="P603" s="132">
        <f t="shared" si="287"/>
        <v>0</v>
      </c>
      <c r="Q603" s="132">
        <f t="shared" si="287"/>
        <v>0</v>
      </c>
      <c r="R603" s="132">
        <f t="shared" si="287"/>
        <v>0</v>
      </c>
      <c r="S603" s="132">
        <f t="shared" si="273"/>
        <v>288</v>
      </c>
    </row>
    <row r="604" spans="1:37" s="80" customFormat="1" ht="31.5" x14ac:dyDescent="0.25">
      <c r="A604" s="267" t="s">
        <v>1220</v>
      </c>
      <c r="B604" s="544">
        <v>936</v>
      </c>
      <c r="C604" s="545" t="s">
        <v>25</v>
      </c>
      <c r="D604" s="545" t="s">
        <v>74</v>
      </c>
      <c r="E604" s="545" t="s">
        <v>1219</v>
      </c>
      <c r="F604" s="545" t="s">
        <v>9</v>
      </c>
      <c r="G604" s="283">
        <f>G605</f>
        <v>0</v>
      </c>
      <c r="H604" s="283">
        <f t="shared" si="287"/>
        <v>0</v>
      </c>
      <c r="I604" s="283">
        <f t="shared" si="287"/>
        <v>0</v>
      </c>
      <c r="J604" s="283">
        <f t="shared" si="287"/>
        <v>0</v>
      </c>
      <c r="K604" s="283">
        <f t="shared" si="287"/>
        <v>0</v>
      </c>
      <c r="L604" s="283">
        <f t="shared" si="287"/>
        <v>0</v>
      </c>
      <c r="M604" s="132">
        <f t="shared" si="287"/>
        <v>288</v>
      </c>
      <c r="N604" s="568">
        <f t="shared" si="287"/>
        <v>0</v>
      </c>
      <c r="O604" s="132">
        <f t="shared" si="287"/>
        <v>0</v>
      </c>
      <c r="P604" s="132">
        <f t="shared" si="287"/>
        <v>0</v>
      </c>
      <c r="Q604" s="132">
        <f t="shared" si="287"/>
        <v>0</v>
      </c>
      <c r="R604" s="132">
        <f t="shared" si="287"/>
        <v>0</v>
      </c>
      <c r="S604" s="132">
        <f t="shared" si="273"/>
        <v>288</v>
      </c>
    </row>
    <row r="605" spans="1:37" s="77" customFormat="1" ht="31.5" x14ac:dyDescent="0.25">
      <c r="A605" s="264" t="s">
        <v>124</v>
      </c>
      <c r="B605" s="380">
        <v>936</v>
      </c>
      <c r="C605" s="75" t="s">
        <v>25</v>
      </c>
      <c r="D605" s="75" t="s">
        <v>74</v>
      </c>
      <c r="E605" s="75" t="s">
        <v>1219</v>
      </c>
      <c r="F605" s="75" t="s">
        <v>117</v>
      </c>
      <c r="G605" s="282"/>
      <c r="H605" s="282"/>
      <c r="I605" s="282"/>
      <c r="J605" s="282"/>
      <c r="K605" s="282"/>
      <c r="L605" s="282"/>
      <c r="M605" s="581">
        <v>288</v>
      </c>
      <c r="N605" s="566"/>
      <c r="O605" s="131"/>
      <c r="P605" s="131"/>
      <c r="Q605" s="131"/>
      <c r="R605" s="131"/>
      <c r="S605" s="566">
        <f t="shared" si="273"/>
        <v>288</v>
      </c>
    </row>
    <row r="606" spans="1:37" s="80" customFormat="1" ht="31.5" x14ac:dyDescent="0.25">
      <c r="A606" s="267" t="s">
        <v>1220</v>
      </c>
      <c r="B606" s="544">
        <v>936</v>
      </c>
      <c r="C606" s="545" t="s">
        <v>25</v>
      </c>
      <c r="D606" s="545" t="s">
        <v>74</v>
      </c>
      <c r="E606" s="545" t="s">
        <v>1218</v>
      </c>
      <c r="F606" s="545" t="s">
        <v>9</v>
      </c>
      <c r="G606" s="283">
        <f>G607</f>
        <v>0</v>
      </c>
      <c r="H606" s="283">
        <f t="shared" ref="H606:R606" si="288">H607</f>
        <v>0</v>
      </c>
      <c r="I606" s="283">
        <f t="shared" si="288"/>
        <v>0</v>
      </c>
      <c r="J606" s="283">
        <f t="shared" si="288"/>
        <v>0</v>
      </c>
      <c r="K606" s="283">
        <f t="shared" si="288"/>
        <v>0</v>
      </c>
      <c r="L606" s="283">
        <f t="shared" si="288"/>
        <v>0</v>
      </c>
      <c r="M606" s="132">
        <f t="shared" si="288"/>
        <v>32</v>
      </c>
      <c r="N606" s="568">
        <f t="shared" si="288"/>
        <v>0</v>
      </c>
      <c r="O606" s="132">
        <f t="shared" si="288"/>
        <v>0</v>
      </c>
      <c r="P606" s="132">
        <f t="shared" si="288"/>
        <v>0</v>
      </c>
      <c r="Q606" s="132">
        <f t="shared" si="288"/>
        <v>0</v>
      </c>
      <c r="R606" s="132">
        <f t="shared" si="288"/>
        <v>0</v>
      </c>
      <c r="S606" s="132">
        <f t="shared" si="273"/>
        <v>32</v>
      </c>
    </row>
    <row r="607" spans="1:37" s="77" customFormat="1" ht="31.5" x14ac:dyDescent="0.25">
      <c r="A607" s="264" t="s">
        <v>124</v>
      </c>
      <c r="B607" s="380">
        <v>936</v>
      </c>
      <c r="C607" s="75" t="s">
        <v>25</v>
      </c>
      <c r="D607" s="75" t="s">
        <v>74</v>
      </c>
      <c r="E607" s="75" t="s">
        <v>1218</v>
      </c>
      <c r="F607" s="75" t="s">
        <v>117</v>
      </c>
      <c r="G607" s="282"/>
      <c r="H607" s="282"/>
      <c r="I607" s="282"/>
      <c r="J607" s="282"/>
      <c r="K607" s="282"/>
      <c r="L607" s="282"/>
      <c r="M607" s="581">
        <v>32</v>
      </c>
      <c r="N607" s="566"/>
      <c r="O607" s="131"/>
      <c r="P607" s="131"/>
      <c r="Q607" s="131"/>
      <c r="R607" s="131"/>
      <c r="S607" s="566">
        <f t="shared" si="273"/>
        <v>32</v>
      </c>
    </row>
    <row r="608" spans="1:37" x14ac:dyDescent="0.25">
      <c r="A608" s="267" t="s">
        <v>692</v>
      </c>
      <c r="B608" s="497" t="s">
        <v>76</v>
      </c>
      <c r="C608" s="496" t="s">
        <v>25</v>
      </c>
      <c r="D608" s="497" t="s">
        <v>74</v>
      </c>
      <c r="E608" s="285" t="s">
        <v>381</v>
      </c>
      <c r="F608" s="497" t="s">
        <v>9</v>
      </c>
      <c r="G608" s="283">
        <f t="shared" ref="G608:R609" si="289">G609</f>
        <v>0</v>
      </c>
      <c r="H608" s="304">
        <f t="shared" si="289"/>
        <v>0</v>
      </c>
      <c r="I608" s="283">
        <f t="shared" si="289"/>
        <v>0</v>
      </c>
      <c r="J608" s="283">
        <f t="shared" si="289"/>
        <v>0</v>
      </c>
      <c r="K608" s="283">
        <f t="shared" si="289"/>
        <v>0</v>
      </c>
      <c r="L608" s="283">
        <f t="shared" si="289"/>
        <v>15</v>
      </c>
      <c r="M608" s="568">
        <f t="shared" si="289"/>
        <v>0</v>
      </c>
      <c r="N608" s="568">
        <f t="shared" si="289"/>
        <v>0</v>
      </c>
      <c r="O608" s="569">
        <f t="shared" si="289"/>
        <v>0</v>
      </c>
      <c r="P608" s="569">
        <f t="shared" si="289"/>
        <v>0</v>
      </c>
      <c r="Q608" s="569">
        <f t="shared" si="289"/>
        <v>0</v>
      </c>
      <c r="R608" s="569">
        <f t="shared" si="289"/>
        <v>0</v>
      </c>
      <c r="S608" s="132">
        <f t="shared" si="273"/>
        <v>15</v>
      </c>
      <c r="T608" s="8"/>
      <c r="U608" s="8"/>
      <c r="AK608" s="8"/>
    </row>
    <row r="609" spans="1:37" s="82" customFormat="1" ht="31.5" x14ac:dyDescent="0.25">
      <c r="A609" s="267" t="s">
        <v>87</v>
      </c>
      <c r="B609" s="497" t="s">
        <v>76</v>
      </c>
      <c r="C609" s="496" t="s">
        <v>25</v>
      </c>
      <c r="D609" s="497" t="s">
        <v>74</v>
      </c>
      <c r="E609" s="285" t="s">
        <v>441</v>
      </c>
      <c r="F609" s="497" t="s">
        <v>9</v>
      </c>
      <c r="G609" s="283">
        <f t="shared" si="289"/>
        <v>0</v>
      </c>
      <c r="H609" s="304">
        <f t="shared" si="289"/>
        <v>0</v>
      </c>
      <c r="I609" s="283">
        <f t="shared" si="289"/>
        <v>0</v>
      </c>
      <c r="J609" s="283">
        <f t="shared" si="289"/>
        <v>0</v>
      </c>
      <c r="K609" s="283">
        <f t="shared" si="289"/>
        <v>0</v>
      </c>
      <c r="L609" s="283">
        <f t="shared" si="289"/>
        <v>15</v>
      </c>
      <c r="M609" s="568">
        <f t="shared" si="289"/>
        <v>0</v>
      </c>
      <c r="N609" s="568">
        <f t="shared" si="289"/>
        <v>0</v>
      </c>
      <c r="O609" s="569">
        <f t="shared" si="289"/>
        <v>0</v>
      </c>
      <c r="P609" s="569">
        <f t="shared" si="289"/>
        <v>0</v>
      </c>
      <c r="Q609" s="569">
        <f t="shared" si="289"/>
        <v>0</v>
      </c>
      <c r="R609" s="569">
        <f t="shared" si="289"/>
        <v>0</v>
      </c>
      <c r="S609" s="132">
        <f t="shared" si="273"/>
        <v>15</v>
      </c>
    </row>
    <row r="610" spans="1:37" ht="31.5" x14ac:dyDescent="0.25">
      <c r="A610" s="264" t="s">
        <v>124</v>
      </c>
      <c r="B610" s="380" t="s">
        <v>76</v>
      </c>
      <c r="C610" s="488" t="s">
        <v>25</v>
      </c>
      <c r="D610" s="380" t="s">
        <v>74</v>
      </c>
      <c r="E610" s="265" t="s">
        <v>441</v>
      </c>
      <c r="F610" s="380" t="s">
        <v>117</v>
      </c>
      <c r="G610" s="282"/>
      <c r="H610" s="303"/>
      <c r="I610" s="265"/>
      <c r="J610" s="265"/>
      <c r="K610" s="265"/>
      <c r="L610" s="265">
        <v>15</v>
      </c>
      <c r="M610" s="570"/>
      <c r="N610" s="570"/>
      <c r="O610" s="571"/>
      <c r="P610" s="571"/>
      <c r="Q610" s="571"/>
      <c r="R610" s="571"/>
      <c r="S610" s="566">
        <f t="shared" si="273"/>
        <v>15</v>
      </c>
      <c r="T610" s="8"/>
      <c r="U610" s="8"/>
      <c r="AK610" s="8"/>
    </row>
    <row r="611" spans="1:37" ht="31.15" hidden="1" x14ac:dyDescent="0.3">
      <c r="A611" s="267" t="s">
        <v>88</v>
      </c>
      <c r="B611" s="497" t="s">
        <v>76</v>
      </c>
      <c r="C611" s="496" t="s">
        <v>25</v>
      </c>
      <c r="D611" s="497" t="s">
        <v>74</v>
      </c>
      <c r="E611" s="285" t="s">
        <v>442</v>
      </c>
      <c r="F611" s="497" t="s">
        <v>9</v>
      </c>
      <c r="G611" s="283">
        <f t="shared" ref="G611:R612" si="290">G612</f>
        <v>0</v>
      </c>
      <c r="H611" s="304">
        <f t="shared" si="290"/>
        <v>0</v>
      </c>
      <c r="I611" s="283">
        <f t="shared" si="290"/>
        <v>0</v>
      </c>
      <c r="J611" s="283">
        <f t="shared" si="290"/>
        <v>0</v>
      </c>
      <c r="K611" s="283">
        <f t="shared" si="290"/>
        <v>0</v>
      </c>
      <c r="L611" s="283">
        <f t="shared" si="290"/>
        <v>0</v>
      </c>
      <c r="M611" s="568">
        <f t="shared" si="290"/>
        <v>0</v>
      </c>
      <c r="N611" s="568">
        <f t="shared" si="290"/>
        <v>0</v>
      </c>
      <c r="O611" s="569">
        <f t="shared" si="290"/>
        <v>0</v>
      </c>
      <c r="P611" s="569">
        <f t="shared" si="290"/>
        <v>0</v>
      </c>
      <c r="Q611" s="569">
        <f t="shared" si="290"/>
        <v>0</v>
      </c>
      <c r="R611" s="569">
        <f t="shared" si="290"/>
        <v>0</v>
      </c>
      <c r="S611" s="132">
        <f t="shared" si="273"/>
        <v>0</v>
      </c>
      <c r="T611" s="8"/>
      <c r="U611" s="8"/>
      <c r="AK611" s="8"/>
    </row>
    <row r="612" spans="1:37" ht="31.15" hidden="1" x14ac:dyDescent="0.3">
      <c r="A612" s="267" t="s">
        <v>130</v>
      </c>
      <c r="B612" s="497" t="s">
        <v>76</v>
      </c>
      <c r="C612" s="496" t="s">
        <v>25</v>
      </c>
      <c r="D612" s="497" t="s">
        <v>74</v>
      </c>
      <c r="E612" s="285" t="s">
        <v>443</v>
      </c>
      <c r="F612" s="497" t="s">
        <v>9</v>
      </c>
      <c r="G612" s="283">
        <f t="shared" si="290"/>
        <v>0</v>
      </c>
      <c r="H612" s="304">
        <f t="shared" si="290"/>
        <v>0</v>
      </c>
      <c r="I612" s="283">
        <f t="shared" si="290"/>
        <v>0</v>
      </c>
      <c r="J612" s="283">
        <f t="shared" si="290"/>
        <v>0</v>
      </c>
      <c r="K612" s="283">
        <f t="shared" si="290"/>
        <v>0</v>
      </c>
      <c r="L612" s="283">
        <f t="shared" si="290"/>
        <v>0</v>
      </c>
      <c r="M612" s="568">
        <f t="shared" si="290"/>
        <v>0</v>
      </c>
      <c r="N612" s="568">
        <f t="shared" si="290"/>
        <v>0</v>
      </c>
      <c r="O612" s="569">
        <f t="shared" si="290"/>
        <v>0</v>
      </c>
      <c r="P612" s="569">
        <f t="shared" si="290"/>
        <v>0</v>
      </c>
      <c r="Q612" s="569">
        <f t="shared" si="290"/>
        <v>0</v>
      </c>
      <c r="R612" s="569">
        <f t="shared" si="290"/>
        <v>0</v>
      </c>
      <c r="S612" s="132">
        <f t="shared" si="273"/>
        <v>0</v>
      </c>
      <c r="T612" s="8"/>
      <c r="U612" s="8"/>
      <c r="AK612" s="8"/>
    </row>
    <row r="613" spans="1:37" ht="31.15" hidden="1" x14ac:dyDescent="0.3">
      <c r="A613" s="264" t="s">
        <v>124</v>
      </c>
      <c r="B613" s="380" t="s">
        <v>76</v>
      </c>
      <c r="C613" s="488" t="s">
        <v>25</v>
      </c>
      <c r="D613" s="380" t="s">
        <v>74</v>
      </c>
      <c r="E613" s="265" t="s">
        <v>443</v>
      </c>
      <c r="F613" s="380" t="s">
        <v>117</v>
      </c>
      <c r="G613" s="282"/>
      <c r="H613" s="303"/>
      <c r="I613" s="265"/>
      <c r="J613" s="265"/>
      <c r="K613" s="265"/>
      <c r="L613" s="265"/>
      <c r="M613" s="570"/>
      <c r="N613" s="570"/>
      <c r="O613" s="571"/>
      <c r="P613" s="571"/>
      <c r="Q613" s="571"/>
      <c r="R613" s="571"/>
      <c r="S613" s="131">
        <f t="shared" si="273"/>
        <v>0</v>
      </c>
      <c r="T613" s="8"/>
      <c r="U613" s="8"/>
      <c r="AK613" s="8"/>
    </row>
    <row r="614" spans="1:37" s="82" customFormat="1" ht="31.15" hidden="1" x14ac:dyDescent="0.3">
      <c r="A614" s="267" t="s">
        <v>787</v>
      </c>
      <c r="B614" s="497" t="s">
        <v>76</v>
      </c>
      <c r="C614" s="496" t="s">
        <v>25</v>
      </c>
      <c r="D614" s="497" t="s">
        <v>74</v>
      </c>
      <c r="E614" s="285" t="s">
        <v>495</v>
      </c>
      <c r="F614" s="497" t="s">
        <v>9</v>
      </c>
      <c r="G614" s="283">
        <f t="shared" ref="G614:R616" si="291">G615</f>
        <v>0</v>
      </c>
      <c r="H614" s="304">
        <f t="shared" si="291"/>
        <v>0</v>
      </c>
      <c r="I614" s="283">
        <f t="shared" si="291"/>
        <v>0</v>
      </c>
      <c r="J614" s="283">
        <f t="shared" si="291"/>
        <v>0</v>
      </c>
      <c r="K614" s="283">
        <f t="shared" si="291"/>
        <v>0</v>
      </c>
      <c r="L614" s="283">
        <f t="shared" si="291"/>
        <v>0</v>
      </c>
      <c r="M614" s="568">
        <f t="shared" si="291"/>
        <v>0</v>
      </c>
      <c r="N614" s="568">
        <f t="shared" si="291"/>
        <v>0</v>
      </c>
      <c r="O614" s="569">
        <f t="shared" si="291"/>
        <v>0</v>
      </c>
      <c r="P614" s="569">
        <f t="shared" si="291"/>
        <v>0</v>
      </c>
      <c r="Q614" s="569">
        <f t="shared" si="291"/>
        <v>0</v>
      </c>
      <c r="R614" s="569">
        <f t="shared" si="291"/>
        <v>0</v>
      </c>
      <c r="S614" s="132">
        <f t="shared" si="273"/>
        <v>0</v>
      </c>
    </row>
    <row r="615" spans="1:37" s="77" customFormat="1" ht="46.9" hidden="1" x14ac:dyDescent="0.3">
      <c r="A615" s="267" t="s">
        <v>41</v>
      </c>
      <c r="B615" s="497" t="s">
        <v>76</v>
      </c>
      <c r="C615" s="496" t="s">
        <v>25</v>
      </c>
      <c r="D615" s="497" t="s">
        <v>74</v>
      </c>
      <c r="E615" s="285" t="s">
        <v>500</v>
      </c>
      <c r="F615" s="497" t="s">
        <v>9</v>
      </c>
      <c r="G615" s="283">
        <f t="shared" si="291"/>
        <v>0</v>
      </c>
      <c r="H615" s="304">
        <f t="shared" si="291"/>
        <v>0</v>
      </c>
      <c r="I615" s="283">
        <f t="shared" si="291"/>
        <v>0</v>
      </c>
      <c r="J615" s="283">
        <f t="shared" si="291"/>
        <v>0</v>
      </c>
      <c r="K615" s="283">
        <f t="shared" si="291"/>
        <v>0</v>
      </c>
      <c r="L615" s="283">
        <f t="shared" si="291"/>
        <v>0</v>
      </c>
      <c r="M615" s="568">
        <f t="shared" si="291"/>
        <v>0</v>
      </c>
      <c r="N615" s="568">
        <f t="shared" si="291"/>
        <v>0</v>
      </c>
      <c r="O615" s="569">
        <f t="shared" si="291"/>
        <v>0</v>
      </c>
      <c r="P615" s="569">
        <f t="shared" si="291"/>
        <v>0</v>
      </c>
      <c r="Q615" s="569">
        <f t="shared" si="291"/>
        <v>0</v>
      </c>
      <c r="R615" s="569">
        <f t="shared" si="291"/>
        <v>0</v>
      </c>
      <c r="S615" s="132">
        <f t="shared" si="273"/>
        <v>0</v>
      </c>
    </row>
    <row r="616" spans="1:37" s="80" customFormat="1" ht="46.9" hidden="1" x14ac:dyDescent="0.3">
      <c r="A616" s="267" t="s">
        <v>112</v>
      </c>
      <c r="B616" s="497" t="s">
        <v>76</v>
      </c>
      <c r="C616" s="496" t="s">
        <v>25</v>
      </c>
      <c r="D616" s="497" t="s">
        <v>74</v>
      </c>
      <c r="E616" s="285" t="s">
        <v>501</v>
      </c>
      <c r="F616" s="497" t="s">
        <v>9</v>
      </c>
      <c r="G616" s="283">
        <f t="shared" si="291"/>
        <v>0</v>
      </c>
      <c r="H616" s="304">
        <f t="shared" si="291"/>
        <v>0</v>
      </c>
      <c r="I616" s="283">
        <f t="shared" si="291"/>
        <v>0</v>
      </c>
      <c r="J616" s="283">
        <f t="shared" si="291"/>
        <v>0</v>
      </c>
      <c r="K616" s="283">
        <f t="shared" si="291"/>
        <v>0</v>
      </c>
      <c r="L616" s="283">
        <f t="shared" si="291"/>
        <v>0</v>
      </c>
      <c r="M616" s="568">
        <f t="shared" si="291"/>
        <v>0</v>
      </c>
      <c r="N616" s="568">
        <f t="shared" si="291"/>
        <v>0</v>
      </c>
      <c r="O616" s="569">
        <f t="shared" si="291"/>
        <v>0</v>
      </c>
      <c r="P616" s="569">
        <f t="shared" si="291"/>
        <v>0</v>
      </c>
      <c r="Q616" s="569">
        <f t="shared" si="291"/>
        <v>0</v>
      </c>
      <c r="R616" s="569">
        <f t="shared" si="291"/>
        <v>0</v>
      </c>
      <c r="S616" s="132">
        <f t="shared" si="273"/>
        <v>0</v>
      </c>
    </row>
    <row r="617" spans="1:37" s="80" customFormat="1" ht="15.6" hidden="1" x14ac:dyDescent="0.3">
      <c r="A617" s="266" t="s">
        <v>116</v>
      </c>
      <c r="B617" s="380" t="s">
        <v>76</v>
      </c>
      <c r="C617" s="488" t="s">
        <v>25</v>
      </c>
      <c r="D617" s="380" t="s">
        <v>74</v>
      </c>
      <c r="E617" s="493" t="s">
        <v>501</v>
      </c>
      <c r="F617" s="380" t="s">
        <v>114</v>
      </c>
      <c r="G617" s="282"/>
      <c r="H617" s="303"/>
      <c r="I617" s="265"/>
      <c r="J617" s="265"/>
      <c r="K617" s="265"/>
      <c r="L617" s="265"/>
      <c r="M617" s="570"/>
      <c r="N617" s="570"/>
      <c r="O617" s="571"/>
      <c r="P617" s="571"/>
      <c r="Q617" s="571"/>
      <c r="R617" s="571"/>
      <c r="S617" s="131">
        <f t="shared" si="273"/>
        <v>0</v>
      </c>
    </row>
    <row r="618" spans="1:37" s="77" customFormat="1" x14ac:dyDescent="0.25">
      <c r="A618" s="266" t="s">
        <v>351</v>
      </c>
      <c r="B618" s="380" t="s">
        <v>76</v>
      </c>
      <c r="C618" s="488" t="s">
        <v>58</v>
      </c>
      <c r="D618" s="380" t="s">
        <v>10</v>
      </c>
      <c r="E618" s="265" t="s">
        <v>365</v>
      </c>
      <c r="F618" s="380" t="s">
        <v>9</v>
      </c>
      <c r="G618" s="283">
        <f t="shared" ref="G618:R618" si="292">G623+G656+G675+G619</f>
        <v>13649.1</v>
      </c>
      <c r="H618" s="283">
        <f t="shared" si="292"/>
        <v>955.2</v>
      </c>
      <c r="I618" s="283">
        <f t="shared" si="292"/>
        <v>-0.124</v>
      </c>
      <c r="J618" s="283">
        <f t="shared" si="292"/>
        <v>1901.19</v>
      </c>
      <c r="K618" s="283">
        <f t="shared" si="292"/>
        <v>-93.599999999999909</v>
      </c>
      <c r="L618" s="283">
        <f t="shared" si="292"/>
        <v>2685.1910000000003</v>
      </c>
      <c r="M618" s="568">
        <f t="shared" si="292"/>
        <v>1275.46</v>
      </c>
      <c r="N618" s="568">
        <f t="shared" si="292"/>
        <v>-487.97400000000005</v>
      </c>
      <c r="O618" s="132">
        <f t="shared" si="292"/>
        <v>0</v>
      </c>
      <c r="P618" s="132">
        <f t="shared" si="292"/>
        <v>0</v>
      </c>
      <c r="Q618" s="132">
        <f t="shared" si="292"/>
        <v>0</v>
      </c>
      <c r="R618" s="132">
        <f t="shared" si="292"/>
        <v>0</v>
      </c>
      <c r="S618" s="131">
        <f t="shared" si="273"/>
        <v>19884.443000000003</v>
      </c>
    </row>
    <row r="619" spans="1:37" s="80" customFormat="1" x14ac:dyDescent="0.25">
      <c r="A619" s="267" t="s">
        <v>582</v>
      </c>
      <c r="B619" s="497" t="s">
        <v>76</v>
      </c>
      <c r="C619" s="496" t="s">
        <v>58</v>
      </c>
      <c r="D619" s="497" t="s">
        <v>14</v>
      </c>
      <c r="E619" s="285" t="s">
        <v>365</v>
      </c>
      <c r="F619" s="497" t="s">
        <v>9</v>
      </c>
      <c r="G619" s="283">
        <f t="shared" ref="G619:R621" si="293">G620</f>
        <v>0</v>
      </c>
      <c r="H619" s="283">
        <f t="shared" si="293"/>
        <v>363</v>
      </c>
      <c r="I619" s="283">
        <f t="shared" si="293"/>
        <v>0</v>
      </c>
      <c r="J619" s="283">
        <f t="shared" si="293"/>
        <v>0</v>
      </c>
      <c r="K619" s="283">
        <f t="shared" si="293"/>
        <v>0</v>
      </c>
      <c r="L619" s="283">
        <f t="shared" si="293"/>
        <v>0</v>
      </c>
      <c r="M619" s="568">
        <f t="shared" si="293"/>
        <v>0</v>
      </c>
      <c r="N619" s="568">
        <f t="shared" si="293"/>
        <v>0</v>
      </c>
      <c r="O619" s="569">
        <f t="shared" si="293"/>
        <v>0</v>
      </c>
      <c r="P619" s="569">
        <f t="shared" si="293"/>
        <v>0</v>
      </c>
      <c r="Q619" s="569">
        <f t="shared" si="293"/>
        <v>0</v>
      </c>
      <c r="R619" s="569">
        <f t="shared" si="293"/>
        <v>0</v>
      </c>
      <c r="S619" s="132">
        <f t="shared" si="273"/>
        <v>363</v>
      </c>
    </row>
    <row r="620" spans="1:37" s="77" customFormat="1" ht="31.5" x14ac:dyDescent="0.25">
      <c r="A620" s="267" t="s">
        <v>865</v>
      </c>
      <c r="B620" s="497" t="s">
        <v>76</v>
      </c>
      <c r="C620" s="496" t="s">
        <v>58</v>
      </c>
      <c r="D620" s="497" t="s">
        <v>14</v>
      </c>
      <c r="E620" s="285" t="s">
        <v>405</v>
      </c>
      <c r="F620" s="497" t="s">
        <v>9</v>
      </c>
      <c r="G620" s="283">
        <f t="shared" si="293"/>
        <v>0</v>
      </c>
      <c r="H620" s="283">
        <f t="shared" si="293"/>
        <v>363</v>
      </c>
      <c r="I620" s="283">
        <f t="shared" si="293"/>
        <v>0</v>
      </c>
      <c r="J620" s="283">
        <f t="shared" si="293"/>
        <v>0</v>
      </c>
      <c r="K620" s="283">
        <f t="shared" si="293"/>
        <v>0</v>
      </c>
      <c r="L620" s="283">
        <f t="shared" si="293"/>
        <v>0</v>
      </c>
      <c r="M620" s="568">
        <f t="shared" si="293"/>
        <v>0</v>
      </c>
      <c r="N620" s="568">
        <f t="shared" si="293"/>
        <v>0</v>
      </c>
      <c r="O620" s="569">
        <f t="shared" si="293"/>
        <v>0</v>
      </c>
      <c r="P620" s="569">
        <f t="shared" si="293"/>
        <v>0</v>
      </c>
      <c r="Q620" s="569">
        <f t="shared" si="293"/>
        <v>0</v>
      </c>
      <c r="R620" s="569">
        <f t="shared" si="293"/>
        <v>0</v>
      </c>
      <c r="S620" s="132">
        <f t="shared" si="273"/>
        <v>363</v>
      </c>
    </row>
    <row r="621" spans="1:37" s="77" customFormat="1" ht="31.5" x14ac:dyDescent="0.25">
      <c r="A621" s="267" t="s">
        <v>122</v>
      </c>
      <c r="B621" s="497" t="s">
        <v>76</v>
      </c>
      <c r="C621" s="496" t="s">
        <v>58</v>
      </c>
      <c r="D621" s="497" t="s">
        <v>14</v>
      </c>
      <c r="E621" s="285" t="s">
        <v>412</v>
      </c>
      <c r="F621" s="497" t="s">
        <v>9</v>
      </c>
      <c r="G621" s="283">
        <f t="shared" si="293"/>
        <v>0</v>
      </c>
      <c r="H621" s="283">
        <f t="shared" si="293"/>
        <v>363</v>
      </c>
      <c r="I621" s="283">
        <f t="shared" si="293"/>
        <v>0</v>
      </c>
      <c r="J621" s="283">
        <f t="shared" si="293"/>
        <v>0</v>
      </c>
      <c r="K621" s="283">
        <f t="shared" si="293"/>
        <v>0</v>
      </c>
      <c r="L621" s="283">
        <f t="shared" si="293"/>
        <v>0</v>
      </c>
      <c r="M621" s="568">
        <f t="shared" si="293"/>
        <v>0</v>
      </c>
      <c r="N621" s="568">
        <f t="shared" si="293"/>
        <v>0</v>
      </c>
      <c r="O621" s="569">
        <f t="shared" si="293"/>
        <v>0</v>
      </c>
      <c r="P621" s="569">
        <f t="shared" si="293"/>
        <v>0</v>
      </c>
      <c r="Q621" s="569">
        <f t="shared" si="293"/>
        <v>0</v>
      </c>
      <c r="R621" s="569">
        <f t="shared" si="293"/>
        <v>0</v>
      </c>
      <c r="S621" s="132">
        <f t="shared" si="273"/>
        <v>363</v>
      </c>
    </row>
    <row r="622" spans="1:37" s="77" customFormat="1" ht="31.5" x14ac:dyDescent="0.25">
      <c r="A622" s="264" t="s">
        <v>124</v>
      </c>
      <c r="B622" s="380" t="s">
        <v>76</v>
      </c>
      <c r="C622" s="488" t="s">
        <v>58</v>
      </c>
      <c r="D622" s="380" t="s">
        <v>14</v>
      </c>
      <c r="E622" s="265" t="s">
        <v>412</v>
      </c>
      <c r="F622" s="380" t="s">
        <v>117</v>
      </c>
      <c r="G622" s="282"/>
      <c r="H622" s="303">
        <v>363</v>
      </c>
      <c r="I622" s="265"/>
      <c r="J622" s="265"/>
      <c r="K622" s="265"/>
      <c r="L622" s="265"/>
      <c r="M622" s="570"/>
      <c r="N622" s="570"/>
      <c r="O622" s="571"/>
      <c r="P622" s="571"/>
      <c r="Q622" s="571"/>
      <c r="R622" s="571"/>
      <c r="S622" s="566">
        <f t="shared" si="273"/>
        <v>363</v>
      </c>
    </row>
    <row r="623" spans="1:37" s="80" customFormat="1" x14ac:dyDescent="0.25">
      <c r="A623" s="267" t="s">
        <v>352</v>
      </c>
      <c r="B623" s="497" t="s">
        <v>76</v>
      </c>
      <c r="C623" s="496" t="s">
        <v>58</v>
      </c>
      <c r="D623" s="497" t="s">
        <v>36</v>
      </c>
      <c r="E623" s="494" t="s">
        <v>365</v>
      </c>
      <c r="F623" s="497" t="s">
        <v>9</v>
      </c>
      <c r="G623" s="283">
        <f t="shared" ref="G623:R623" si="294">G624</f>
        <v>362</v>
      </c>
      <c r="H623" s="304">
        <f t="shared" si="294"/>
        <v>0</v>
      </c>
      <c r="I623" s="283">
        <f t="shared" si="294"/>
        <v>-0.124</v>
      </c>
      <c r="J623" s="283">
        <f t="shared" si="294"/>
        <v>1901.19</v>
      </c>
      <c r="K623" s="283">
        <f t="shared" si="294"/>
        <v>4001.4</v>
      </c>
      <c r="L623" s="283">
        <f t="shared" si="294"/>
        <v>2685.3440000000001</v>
      </c>
      <c r="M623" s="568">
        <f t="shared" si="294"/>
        <v>634</v>
      </c>
      <c r="N623" s="568">
        <f t="shared" si="294"/>
        <v>-486.94900000000001</v>
      </c>
      <c r="O623" s="569">
        <f t="shared" si="294"/>
        <v>0</v>
      </c>
      <c r="P623" s="569">
        <f t="shared" si="294"/>
        <v>0</v>
      </c>
      <c r="Q623" s="569">
        <f t="shared" si="294"/>
        <v>0</v>
      </c>
      <c r="R623" s="569">
        <f t="shared" si="294"/>
        <v>0</v>
      </c>
      <c r="S623" s="132">
        <f t="shared" si="273"/>
        <v>9096.8610000000008</v>
      </c>
    </row>
    <row r="624" spans="1:37" s="80" customFormat="1" ht="31.5" x14ac:dyDescent="0.25">
      <c r="A624" s="267" t="s">
        <v>784</v>
      </c>
      <c r="B624" s="497" t="s">
        <v>76</v>
      </c>
      <c r="C624" s="496" t="s">
        <v>58</v>
      </c>
      <c r="D624" s="497" t="s">
        <v>36</v>
      </c>
      <c r="E624" s="285" t="s">
        <v>380</v>
      </c>
      <c r="F624" s="497" t="s">
        <v>9</v>
      </c>
      <c r="G624" s="283">
        <f t="shared" ref="G624:R624" si="295">G652+G625+G633+G635+G644+G647+G637+G639+G650</f>
        <v>362</v>
      </c>
      <c r="H624" s="304">
        <f t="shared" si="295"/>
        <v>0</v>
      </c>
      <c r="I624" s="283">
        <f t="shared" si="295"/>
        <v>-0.124</v>
      </c>
      <c r="J624" s="283">
        <f t="shared" si="295"/>
        <v>1901.19</v>
      </c>
      <c r="K624" s="283">
        <f t="shared" si="295"/>
        <v>4001.4</v>
      </c>
      <c r="L624" s="283">
        <f t="shared" si="295"/>
        <v>2685.3440000000001</v>
      </c>
      <c r="M624" s="568">
        <f t="shared" si="295"/>
        <v>634</v>
      </c>
      <c r="N624" s="568">
        <f t="shared" si="295"/>
        <v>-486.94900000000001</v>
      </c>
      <c r="O624" s="569">
        <f t="shared" si="295"/>
        <v>0</v>
      </c>
      <c r="P624" s="569">
        <f t="shared" si="295"/>
        <v>0</v>
      </c>
      <c r="Q624" s="569">
        <f t="shared" si="295"/>
        <v>0</v>
      </c>
      <c r="R624" s="569">
        <f t="shared" si="295"/>
        <v>0</v>
      </c>
      <c r="S624" s="132">
        <f t="shared" si="273"/>
        <v>9096.8610000000008</v>
      </c>
    </row>
    <row r="625" spans="1:19" s="77" customFormat="1" ht="47.25" x14ac:dyDescent="0.25">
      <c r="A625" s="267" t="s">
        <v>41</v>
      </c>
      <c r="B625" s="497" t="s">
        <v>76</v>
      </c>
      <c r="C625" s="496" t="s">
        <v>58</v>
      </c>
      <c r="D625" s="497" t="s">
        <v>36</v>
      </c>
      <c r="E625" s="285" t="s">
        <v>414</v>
      </c>
      <c r="F625" s="497" t="s">
        <v>9</v>
      </c>
      <c r="G625" s="283">
        <f t="shared" ref="G625:R625" si="296">G626+G641</f>
        <v>0</v>
      </c>
      <c r="H625" s="283">
        <f t="shared" si="296"/>
        <v>0</v>
      </c>
      <c r="I625" s="283">
        <f t="shared" si="296"/>
        <v>0</v>
      </c>
      <c r="J625" s="283">
        <f t="shared" si="296"/>
        <v>0</v>
      </c>
      <c r="K625" s="283">
        <f t="shared" si="296"/>
        <v>3961.4</v>
      </c>
      <c r="L625" s="283">
        <f t="shared" si="296"/>
        <v>2257.2600000000002</v>
      </c>
      <c r="M625" s="568">
        <f t="shared" si="296"/>
        <v>0</v>
      </c>
      <c r="N625" s="568">
        <f t="shared" si="296"/>
        <v>-492.39699999999999</v>
      </c>
      <c r="O625" s="132">
        <f t="shared" si="296"/>
        <v>0</v>
      </c>
      <c r="P625" s="132">
        <f t="shared" si="296"/>
        <v>0</v>
      </c>
      <c r="Q625" s="132">
        <f t="shared" si="296"/>
        <v>0</v>
      </c>
      <c r="R625" s="132">
        <f t="shared" si="296"/>
        <v>0</v>
      </c>
      <c r="S625" s="132">
        <f t="shared" si="273"/>
        <v>5726.2629999999999</v>
      </c>
    </row>
    <row r="626" spans="1:19" s="80" customFormat="1" ht="31.5" x14ac:dyDescent="0.25">
      <c r="A626" s="267" t="s">
        <v>464</v>
      </c>
      <c r="B626" s="497" t="s">
        <v>76</v>
      </c>
      <c r="C626" s="496" t="s">
        <v>58</v>
      </c>
      <c r="D626" s="497" t="s">
        <v>36</v>
      </c>
      <c r="E626" s="285" t="s">
        <v>889</v>
      </c>
      <c r="F626" s="497" t="s">
        <v>9</v>
      </c>
      <c r="G626" s="283">
        <f t="shared" ref="G626:R626" si="297">G627+G629+G631</f>
        <v>0</v>
      </c>
      <c r="H626" s="304">
        <f t="shared" si="297"/>
        <v>0</v>
      </c>
      <c r="I626" s="283">
        <f t="shared" si="297"/>
        <v>0</v>
      </c>
      <c r="J626" s="283">
        <f t="shared" si="297"/>
        <v>0</v>
      </c>
      <c r="K626" s="283">
        <f t="shared" si="297"/>
        <v>0</v>
      </c>
      <c r="L626" s="283">
        <f t="shared" si="297"/>
        <v>2257.2600000000002</v>
      </c>
      <c r="M626" s="568">
        <f t="shared" si="297"/>
        <v>0</v>
      </c>
      <c r="N626" s="568">
        <f t="shared" si="297"/>
        <v>-492.39699999999999</v>
      </c>
      <c r="O626" s="569">
        <f t="shared" si="297"/>
        <v>0</v>
      </c>
      <c r="P626" s="569">
        <f t="shared" si="297"/>
        <v>0</v>
      </c>
      <c r="Q626" s="569">
        <f t="shared" si="297"/>
        <v>0</v>
      </c>
      <c r="R626" s="569">
        <f t="shared" si="297"/>
        <v>0</v>
      </c>
      <c r="S626" s="132">
        <f t="shared" si="273"/>
        <v>1764.8630000000003</v>
      </c>
    </row>
    <row r="627" spans="1:19" s="80" customFormat="1" ht="31.5" x14ac:dyDescent="0.25">
      <c r="A627" s="267" t="s">
        <v>1191</v>
      </c>
      <c r="B627" s="497" t="s">
        <v>76</v>
      </c>
      <c r="C627" s="496" t="s">
        <v>58</v>
      </c>
      <c r="D627" s="497" t="s">
        <v>36</v>
      </c>
      <c r="E627" s="285" t="s">
        <v>898</v>
      </c>
      <c r="F627" s="497" t="s">
        <v>9</v>
      </c>
      <c r="G627" s="283">
        <f t="shared" ref="G627:R627" si="298">G628</f>
        <v>0</v>
      </c>
      <c r="H627" s="304">
        <f t="shared" si="298"/>
        <v>0</v>
      </c>
      <c r="I627" s="283">
        <f t="shared" si="298"/>
        <v>0</v>
      </c>
      <c r="J627" s="283">
        <f t="shared" si="298"/>
        <v>0</v>
      </c>
      <c r="K627" s="283">
        <f t="shared" si="298"/>
        <v>0</v>
      </c>
      <c r="L627" s="283">
        <f t="shared" si="298"/>
        <v>807.26</v>
      </c>
      <c r="M627" s="568">
        <f t="shared" si="298"/>
        <v>0</v>
      </c>
      <c r="N627" s="568">
        <f t="shared" si="298"/>
        <v>-144.39699999999999</v>
      </c>
      <c r="O627" s="569">
        <f t="shared" si="298"/>
        <v>0</v>
      </c>
      <c r="P627" s="569">
        <f t="shared" si="298"/>
        <v>0</v>
      </c>
      <c r="Q627" s="569">
        <f t="shared" si="298"/>
        <v>0</v>
      </c>
      <c r="R627" s="569">
        <f t="shared" si="298"/>
        <v>0</v>
      </c>
      <c r="S627" s="132">
        <f t="shared" si="273"/>
        <v>662.86300000000006</v>
      </c>
    </row>
    <row r="628" spans="1:19" s="80" customFormat="1" ht="31.5" x14ac:dyDescent="0.25">
      <c r="A628" s="264" t="s">
        <v>124</v>
      </c>
      <c r="B628" s="380" t="s">
        <v>76</v>
      </c>
      <c r="C628" s="488" t="s">
        <v>58</v>
      </c>
      <c r="D628" s="380" t="s">
        <v>36</v>
      </c>
      <c r="E628" s="265" t="s">
        <v>898</v>
      </c>
      <c r="F628" s="380" t="s">
        <v>117</v>
      </c>
      <c r="G628" s="302"/>
      <c r="H628" s="303"/>
      <c r="I628" s="265"/>
      <c r="J628" s="265"/>
      <c r="K628" s="265"/>
      <c r="L628" s="265">
        <v>807.26</v>
      </c>
      <c r="M628" s="570"/>
      <c r="N628" s="570">
        <v>-144.39699999999999</v>
      </c>
      <c r="O628" s="571"/>
      <c r="P628" s="571"/>
      <c r="Q628" s="571"/>
      <c r="R628" s="571"/>
      <c r="S628" s="566">
        <f t="shared" si="273"/>
        <v>662.86300000000006</v>
      </c>
    </row>
    <row r="629" spans="1:19" s="80" customFormat="1" ht="31.15" hidden="1" x14ac:dyDescent="0.3">
      <c r="A629" s="267" t="s">
        <v>895</v>
      </c>
      <c r="B629" s="497" t="s">
        <v>76</v>
      </c>
      <c r="C629" s="496" t="s">
        <v>58</v>
      </c>
      <c r="D629" s="497" t="s">
        <v>36</v>
      </c>
      <c r="E629" s="285" t="s">
        <v>897</v>
      </c>
      <c r="F629" s="497" t="s">
        <v>9</v>
      </c>
      <c r="G629" s="283">
        <f t="shared" ref="G629:R629" si="299">G630</f>
        <v>0</v>
      </c>
      <c r="H629" s="304">
        <f t="shared" si="299"/>
        <v>0</v>
      </c>
      <c r="I629" s="283">
        <f t="shared" si="299"/>
        <v>0</v>
      </c>
      <c r="J629" s="283">
        <f t="shared" si="299"/>
        <v>0</v>
      </c>
      <c r="K629" s="283">
        <f t="shared" si="299"/>
        <v>0</v>
      </c>
      <c r="L629" s="283">
        <f t="shared" si="299"/>
        <v>0</v>
      </c>
      <c r="M629" s="568">
        <f t="shared" si="299"/>
        <v>0</v>
      </c>
      <c r="N629" s="568">
        <f t="shared" si="299"/>
        <v>0</v>
      </c>
      <c r="O629" s="569">
        <f t="shared" si="299"/>
        <v>0</v>
      </c>
      <c r="P629" s="569">
        <f t="shared" si="299"/>
        <v>0</v>
      </c>
      <c r="Q629" s="569">
        <f t="shared" si="299"/>
        <v>0</v>
      </c>
      <c r="R629" s="569">
        <f t="shared" si="299"/>
        <v>0</v>
      </c>
      <c r="S629" s="132">
        <f t="shared" si="273"/>
        <v>0</v>
      </c>
    </row>
    <row r="630" spans="1:19" s="80" customFormat="1" ht="31.15" hidden="1" x14ac:dyDescent="0.3">
      <c r="A630" s="264" t="s">
        <v>124</v>
      </c>
      <c r="B630" s="380" t="s">
        <v>76</v>
      </c>
      <c r="C630" s="488" t="s">
        <v>58</v>
      </c>
      <c r="D630" s="380" t="s">
        <v>36</v>
      </c>
      <c r="E630" s="265" t="s">
        <v>897</v>
      </c>
      <c r="F630" s="380" t="s">
        <v>117</v>
      </c>
      <c r="G630" s="282"/>
      <c r="H630" s="303"/>
      <c r="I630" s="265"/>
      <c r="J630" s="265"/>
      <c r="K630" s="265"/>
      <c r="L630" s="265"/>
      <c r="M630" s="570"/>
      <c r="N630" s="570"/>
      <c r="O630" s="571"/>
      <c r="P630" s="571"/>
      <c r="Q630" s="571"/>
      <c r="R630" s="571"/>
      <c r="S630" s="131">
        <f t="shared" si="273"/>
        <v>0</v>
      </c>
    </row>
    <row r="631" spans="1:19" s="80" customFormat="1" ht="31.5" x14ac:dyDescent="0.25">
      <c r="A631" s="267" t="s">
        <v>1190</v>
      </c>
      <c r="B631" s="497" t="s">
        <v>76</v>
      </c>
      <c r="C631" s="496" t="s">
        <v>58</v>
      </c>
      <c r="D631" s="497" t="s">
        <v>36</v>
      </c>
      <c r="E631" s="285" t="s">
        <v>1054</v>
      </c>
      <c r="F631" s="497" t="s">
        <v>9</v>
      </c>
      <c r="G631" s="283">
        <f t="shared" ref="G631:R631" si="300">G632</f>
        <v>0</v>
      </c>
      <c r="H631" s="304">
        <f t="shared" si="300"/>
        <v>0</v>
      </c>
      <c r="I631" s="283">
        <f t="shared" si="300"/>
        <v>0</v>
      </c>
      <c r="J631" s="283">
        <f t="shared" si="300"/>
        <v>0</v>
      </c>
      <c r="K631" s="283">
        <f t="shared" si="300"/>
        <v>0</v>
      </c>
      <c r="L631" s="283">
        <f t="shared" si="300"/>
        <v>1450</v>
      </c>
      <c r="M631" s="568">
        <f t="shared" si="300"/>
        <v>0</v>
      </c>
      <c r="N631" s="568">
        <f t="shared" si="300"/>
        <v>-348</v>
      </c>
      <c r="O631" s="569">
        <f t="shared" si="300"/>
        <v>0</v>
      </c>
      <c r="P631" s="569">
        <f t="shared" si="300"/>
        <v>0</v>
      </c>
      <c r="Q631" s="569">
        <f t="shared" si="300"/>
        <v>0</v>
      </c>
      <c r="R631" s="569">
        <f t="shared" si="300"/>
        <v>0</v>
      </c>
      <c r="S631" s="132">
        <f t="shared" si="273"/>
        <v>1102</v>
      </c>
    </row>
    <row r="632" spans="1:19" s="80" customFormat="1" ht="31.5" x14ac:dyDescent="0.25">
      <c r="A632" s="264" t="s">
        <v>124</v>
      </c>
      <c r="B632" s="380" t="s">
        <v>76</v>
      </c>
      <c r="C632" s="488" t="s">
        <v>58</v>
      </c>
      <c r="D632" s="380" t="s">
        <v>36</v>
      </c>
      <c r="E632" s="265" t="s">
        <v>1054</v>
      </c>
      <c r="F632" s="380" t="s">
        <v>117</v>
      </c>
      <c r="G632" s="282"/>
      <c r="H632" s="303"/>
      <c r="I632" s="265"/>
      <c r="J632" s="265"/>
      <c r="K632" s="265"/>
      <c r="L632" s="265">
        <v>1450</v>
      </c>
      <c r="M632" s="570"/>
      <c r="N632" s="570">
        <v>-348</v>
      </c>
      <c r="O632" s="571"/>
      <c r="P632" s="571"/>
      <c r="Q632" s="571"/>
      <c r="R632" s="571"/>
      <c r="S632" s="566">
        <f t="shared" si="273"/>
        <v>1102</v>
      </c>
    </row>
    <row r="633" spans="1:19" s="80" customFormat="1" ht="31.5" x14ac:dyDescent="0.25">
      <c r="A633" s="267" t="s">
        <v>1148</v>
      </c>
      <c r="B633" s="497" t="s">
        <v>76</v>
      </c>
      <c r="C633" s="496" t="s">
        <v>58</v>
      </c>
      <c r="D633" s="497" t="s">
        <v>36</v>
      </c>
      <c r="E633" s="285" t="s">
        <v>980</v>
      </c>
      <c r="F633" s="497" t="s">
        <v>9</v>
      </c>
      <c r="G633" s="283">
        <f t="shared" ref="G633:R633" si="301">G634</f>
        <v>119</v>
      </c>
      <c r="H633" s="304">
        <f t="shared" si="301"/>
        <v>0</v>
      </c>
      <c r="I633" s="283">
        <f t="shared" si="301"/>
        <v>0</v>
      </c>
      <c r="J633" s="283">
        <f t="shared" si="301"/>
        <v>0</v>
      </c>
      <c r="K633" s="283">
        <f t="shared" si="301"/>
        <v>0</v>
      </c>
      <c r="L633" s="283">
        <f t="shared" si="301"/>
        <v>259.584</v>
      </c>
      <c r="M633" s="568">
        <f t="shared" si="301"/>
        <v>0</v>
      </c>
      <c r="N633" s="568">
        <f t="shared" si="301"/>
        <v>-67.718000000000004</v>
      </c>
      <c r="O633" s="569">
        <f t="shared" si="301"/>
        <v>0</v>
      </c>
      <c r="P633" s="569">
        <f t="shared" si="301"/>
        <v>0</v>
      </c>
      <c r="Q633" s="569">
        <f t="shared" si="301"/>
        <v>0</v>
      </c>
      <c r="R633" s="569">
        <f t="shared" si="301"/>
        <v>0</v>
      </c>
      <c r="S633" s="132">
        <f t="shared" si="273"/>
        <v>310.86599999999999</v>
      </c>
    </row>
    <row r="634" spans="1:19" s="80" customFormat="1" ht="31.5" x14ac:dyDescent="0.25">
      <c r="A634" s="264" t="s">
        <v>124</v>
      </c>
      <c r="B634" s="380" t="s">
        <v>76</v>
      </c>
      <c r="C634" s="488" t="s">
        <v>58</v>
      </c>
      <c r="D634" s="380" t="s">
        <v>36</v>
      </c>
      <c r="E634" s="265" t="s">
        <v>980</v>
      </c>
      <c r="F634" s="380" t="s">
        <v>117</v>
      </c>
      <c r="G634" s="361">
        <v>119</v>
      </c>
      <c r="H634" s="303"/>
      <c r="I634" s="265"/>
      <c r="J634" s="265"/>
      <c r="K634" s="265"/>
      <c r="L634" s="265">
        <v>259.584</v>
      </c>
      <c r="M634" s="570"/>
      <c r="N634" s="570">
        <v>-67.718000000000004</v>
      </c>
      <c r="O634" s="571"/>
      <c r="P634" s="571"/>
      <c r="Q634" s="571"/>
      <c r="R634" s="571"/>
      <c r="S634" s="566">
        <f t="shared" si="273"/>
        <v>310.86599999999999</v>
      </c>
    </row>
    <row r="635" spans="1:19" s="80" customFormat="1" ht="31.15" hidden="1" x14ac:dyDescent="0.3">
      <c r="A635" s="267" t="s">
        <v>895</v>
      </c>
      <c r="B635" s="497" t="s">
        <v>76</v>
      </c>
      <c r="C635" s="496" t="s">
        <v>58</v>
      </c>
      <c r="D635" s="497" t="s">
        <v>36</v>
      </c>
      <c r="E635" s="285" t="s">
        <v>981</v>
      </c>
      <c r="F635" s="497" t="s">
        <v>9</v>
      </c>
      <c r="G635" s="283">
        <f t="shared" ref="G635:R635" si="302">G636</f>
        <v>0</v>
      </c>
      <c r="H635" s="304">
        <f t="shared" si="302"/>
        <v>0</v>
      </c>
      <c r="I635" s="283">
        <f t="shared" si="302"/>
        <v>0</v>
      </c>
      <c r="J635" s="283">
        <f t="shared" si="302"/>
        <v>0</v>
      </c>
      <c r="K635" s="283">
        <f t="shared" si="302"/>
        <v>0</v>
      </c>
      <c r="L635" s="283">
        <f t="shared" si="302"/>
        <v>0</v>
      </c>
      <c r="M635" s="568">
        <f t="shared" si="302"/>
        <v>0</v>
      </c>
      <c r="N635" s="568">
        <f t="shared" si="302"/>
        <v>0</v>
      </c>
      <c r="O635" s="569">
        <f t="shared" si="302"/>
        <v>0</v>
      </c>
      <c r="P635" s="569">
        <f t="shared" si="302"/>
        <v>0</v>
      </c>
      <c r="Q635" s="569">
        <f t="shared" si="302"/>
        <v>0</v>
      </c>
      <c r="R635" s="569">
        <f t="shared" si="302"/>
        <v>0</v>
      </c>
      <c r="S635" s="132">
        <f t="shared" si="273"/>
        <v>0</v>
      </c>
    </row>
    <row r="636" spans="1:19" s="80" customFormat="1" ht="31.15" hidden="1" x14ac:dyDescent="0.3">
      <c r="A636" s="264" t="s">
        <v>124</v>
      </c>
      <c r="B636" s="380" t="s">
        <v>76</v>
      </c>
      <c r="C636" s="488" t="s">
        <v>58</v>
      </c>
      <c r="D636" s="380" t="s">
        <v>36</v>
      </c>
      <c r="E636" s="265" t="s">
        <v>981</v>
      </c>
      <c r="F636" s="380" t="s">
        <v>117</v>
      </c>
      <c r="G636" s="282"/>
      <c r="H636" s="303"/>
      <c r="I636" s="265"/>
      <c r="J636" s="265"/>
      <c r="K636" s="265"/>
      <c r="L636" s="265"/>
      <c r="M636" s="570"/>
      <c r="N636" s="570"/>
      <c r="O636" s="571"/>
      <c r="P636" s="571"/>
      <c r="Q636" s="571"/>
      <c r="R636" s="571"/>
      <c r="S636" s="131">
        <f t="shared" si="273"/>
        <v>0</v>
      </c>
    </row>
    <row r="637" spans="1:19" s="80" customFormat="1" ht="31.15" hidden="1" x14ac:dyDescent="0.3">
      <c r="A637" s="267" t="s">
        <v>895</v>
      </c>
      <c r="B637" s="497" t="s">
        <v>76</v>
      </c>
      <c r="C637" s="496" t="s">
        <v>58</v>
      </c>
      <c r="D637" s="497" t="s">
        <v>36</v>
      </c>
      <c r="E637" s="285" t="s">
        <v>982</v>
      </c>
      <c r="F637" s="497" t="s">
        <v>9</v>
      </c>
      <c r="G637" s="283">
        <f t="shared" ref="G637:R637" si="303">G638</f>
        <v>0</v>
      </c>
      <c r="H637" s="304">
        <f t="shared" si="303"/>
        <v>0</v>
      </c>
      <c r="I637" s="283">
        <f t="shared" si="303"/>
        <v>0</v>
      </c>
      <c r="J637" s="283">
        <f t="shared" si="303"/>
        <v>0</v>
      </c>
      <c r="K637" s="283">
        <f t="shared" si="303"/>
        <v>0</v>
      </c>
      <c r="L637" s="283">
        <f t="shared" si="303"/>
        <v>0</v>
      </c>
      <c r="M637" s="568">
        <f t="shared" si="303"/>
        <v>0</v>
      </c>
      <c r="N637" s="568">
        <f t="shared" si="303"/>
        <v>0</v>
      </c>
      <c r="O637" s="569">
        <f t="shared" si="303"/>
        <v>0</v>
      </c>
      <c r="P637" s="569">
        <f t="shared" si="303"/>
        <v>0</v>
      </c>
      <c r="Q637" s="569">
        <f t="shared" si="303"/>
        <v>0</v>
      </c>
      <c r="R637" s="569">
        <f t="shared" si="303"/>
        <v>0</v>
      </c>
      <c r="S637" s="132">
        <f t="shared" si="273"/>
        <v>0</v>
      </c>
    </row>
    <row r="638" spans="1:19" s="80" customFormat="1" ht="31.15" hidden="1" x14ac:dyDescent="0.3">
      <c r="A638" s="264" t="s">
        <v>124</v>
      </c>
      <c r="B638" s="380" t="s">
        <v>76</v>
      </c>
      <c r="C638" s="488" t="s">
        <v>58</v>
      </c>
      <c r="D638" s="380" t="s">
        <v>36</v>
      </c>
      <c r="E638" s="265" t="s">
        <v>982</v>
      </c>
      <c r="F638" s="380" t="s">
        <v>117</v>
      </c>
      <c r="G638" s="282"/>
      <c r="H638" s="303"/>
      <c r="I638" s="265"/>
      <c r="J638" s="265"/>
      <c r="K638" s="265"/>
      <c r="L638" s="265"/>
      <c r="M638" s="570"/>
      <c r="N638" s="570"/>
      <c r="O638" s="571"/>
      <c r="P638" s="571"/>
      <c r="Q638" s="571"/>
      <c r="R638" s="571"/>
      <c r="S638" s="131">
        <f t="shared" si="273"/>
        <v>0</v>
      </c>
    </row>
    <row r="639" spans="1:19" s="80" customFormat="1" ht="31.5" x14ac:dyDescent="0.25">
      <c r="A639" s="267" t="s">
        <v>1149</v>
      </c>
      <c r="B639" s="497" t="s">
        <v>76</v>
      </c>
      <c r="C639" s="496" t="s">
        <v>58</v>
      </c>
      <c r="D639" s="497" t="s">
        <v>36</v>
      </c>
      <c r="E639" s="285" t="s">
        <v>1055</v>
      </c>
      <c r="F639" s="497" t="s">
        <v>9</v>
      </c>
      <c r="G639" s="283">
        <f t="shared" ref="G639:R639" si="304">G640</f>
        <v>243</v>
      </c>
      <c r="H639" s="304">
        <f t="shared" si="304"/>
        <v>0</v>
      </c>
      <c r="I639" s="282">
        <f t="shared" si="304"/>
        <v>-0.124</v>
      </c>
      <c r="J639" s="282">
        <f t="shared" si="304"/>
        <v>735.89</v>
      </c>
      <c r="K639" s="282">
        <f t="shared" si="304"/>
        <v>0</v>
      </c>
      <c r="L639" s="282">
        <f t="shared" si="304"/>
        <v>0</v>
      </c>
      <c r="M639" s="566">
        <f t="shared" si="304"/>
        <v>0</v>
      </c>
      <c r="N639" s="566">
        <f t="shared" si="304"/>
        <v>-249.834</v>
      </c>
      <c r="O639" s="567">
        <f t="shared" si="304"/>
        <v>0</v>
      </c>
      <c r="P639" s="567">
        <f t="shared" si="304"/>
        <v>0</v>
      </c>
      <c r="Q639" s="567">
        <f t="shared" si="304"/>
        <v>0</v>
      </c>
      <c r="R639" s="567">
        <f t="shared" si="304"/>
        <v>0</v>
      </c>
      <c r="S639" s="132">
        <f t="shared" si="273"/>
        <v>728.93200000000002</v>
      </c>
    </row>
    <row r="640" spans="1:19" s="77" customFormat="1" ht="31.5" x14ac:dyDescent="0.25">
      <c r="A640" s="264" t="s">
        <v>124</v>
      </c>
      <c r="B640" s="380" t="s">
        <v>76</v>
      </c>
      <c r="C640" s="488" t="s">
        <v>58</v>
      </c>
      <c r="D640" s="380" t="s">
        <v>36</v>
      </c>
      <c r="E640" s="265" t="s">
        <v>1055</v>
      </c>
      <c r="F640" s="380" t="s">
        <v>117</v>
      </c>
      <c r="G640" s="361">
        <v>243</v>
      </c>
      <c r="H640" s="303"/>
      <c r="I640" s="265">
        <v>-0.124</v>
      </c>
      <c r="J640" s="418">
        <f>735.89</f>
        <v>735.89</v>
      </c>
      <c r="K640" s="265"/>
      <c r="L640" s="265"/>
      <c r="M640" s="570"/>
      <c r="N640" s="570">
        <v>-249.834</v>
      </c>
      <c r="O640" s="571"/>
      <c r="P640" s="571"/>
      <c r="Q640" s="571"/>
      <c r="R640" s="571"/>
      <c r="S640" s="566">
        <f t="shared" si="273"/>
        <v>728.93200000000002</v>
      </c>
    </row>
    <row r="641" spans="1:19" s="80" customFormat="1" ht="31.5" x14ac:dyDescent="0.25">
      <c r="A641" s="267" t="s">
        <v>954</v>
      </c>
      <c r="B641" s="497" t="s">
        <v>76</v>
      </c>
      <c r="C641" s="496" t="s">
        <v>58</v>
      </c>
      <c r="D641" s="497" t="s">
        <v>36</v>
      </c>
      <c r="E641" s="285" t="s">
        <v>983</v>
      </c>
      <c r="F641" s="497" t="s">
        <v>9</v>
      </c>
      <c r="G641" s="283">
        <f t="shared" ref="G641:R641" si="305">G642+G643</f>
        <v>0</v>
      </c>
      <c r="H641" s="283">
        <f t="shared" si="305"/>
        <v>0</v>
      </c>
      <c r="I641" s="283">
        <f t="shared" si="305"/>
        <v>0</v>
      </c>
      <c r="J641" s="283">
        <f t="shared" si="305"/>
        <v>0</v>
      </c>
      <c r="K641" s="283">
        <f t="shared" si="305"/>
        <v>3961.4</v>
      </c>
      <c r="L641" s="283">
        <f t="shared" si="305"/>
        <v>0</v>
      </c>
      <c r="M641" s="568">
        <f t="shared" si="305"/>
        <v>0</v>
      </c>
      <c r="N641" s="568">
        <f t="shared" si="305"/>
        <v>0</v>
      </c>
      <c r="O641" s="132">
        <f t="shared" si="305"/>
        <v>0</v>
      </c>
      <c r="P641" s="132">
        <f t="shared" si="305"/>
        <v>0</v>
      </c>
      <c r="Q641" s="132">
        <f t="shared" si="305"/>
        <v>0</v>
      </c>
      <c r="R641" s="132">
        <f t="shared" si="305"/>
        <v>0</v>
      </c>
      <c r="S641" s="132">
        <f t="shared" si="273"/>
        <v>3961.4</v>
      </c>
    </row>
    <row r="642" spans="1:19" s="80" customFormat="1" ht="31.15" hidden="1" x14ac:dyDescent="0.3">
      <c r="A642" s="264" t="s">
        <v>124</v>
      </c>
      <c r="B642" s="380" t="s">
        <v>76</v>
      </c>
      <c r="C642" s="488" t="s">
        <v>58</v>
      </c>
      <c r="D642" s="380" t="s">
        <v>36</v>
      </c>
      <c r="E642" s="265" t="s">
        <v>983</v>
      </c>
      <c r="F642" s="380" t="s">
        <v>117</v>
      </c>
      <c r="G642" s="283"/>
      <c r="H642" s="304"/>
      <c r="I642" s="394"/>
      <c r="J642" s="282"/>
      <c r="K642" s="304"/>
      <c r="L642" s="283"/>
      <c r="M642" s="568"/>
      <c r="N642" s="568"/>
      <c r="O642" s="132"/>
      <c r="P642" s="132"/>
      <c r="Q642" s="132"/>
      <c r="R642" s="132"/>
      <c r="S642" s="131">
        <f t="shared" si="273"/>
        <v>0</v>
      </c>
    </row>
    <row r="643" spans="1:19" s="80" customFormat="1" ht="31.5" x14ac:dyDescent="0.25">
      <c r="A643" s="264" t="s">
        <v>124</v>
      </c>
      <c r="B643" s="380" t="s">
        <v>76</v>
      </c>
      <c r="C643" s="488" t="s">
        <v>58</v>
      </c>
      <c r="D643" s="380" t="s">
        <v>36</v>
      </c>
      <c r="E643" s="265" t="s">
        <v>983</v>
      </c>
      <c r="F643" s="380" t="s">
        <v>117</v>
      </c>
      <c r="G643" s="283"/>
      <c r="H643" s="304"/>
      <c r="I643" s="394"/>
      <c r="J643" s="282"/>
      <c r="K643" s="304">
        <v>3961.4</v>
      </c>
      <c r="L643" s="283"/>
      <c r="M643" s="568"/>
      <c r="N643" s="568"/>
      <c r="O643" s="132"/>
      <c r="P643" s="132"/>
      <c r="Q643" s="132"/>
      <c r="R643" s="132"/>
      <c r="S643" s="566">
        <f t="shared" si="273"/>
        <v>3961.4</v>
      </c>
    </row>
    <row r="644" spans="1:19" s="80" customFormat="1" ht="31.5" x14ac:dyDescent="0.25">
      <c r="A644" s="267" t="s">
        <v>954</v>
      </c>
      <c r="B644" s="497" t="s">
        <v>76</v>
      </c>
      <c r="C644" s="496" t="s">
        <v>58</v>
      </c>
      <c r="D644" s="497" t="s">
        <v>36</v>
      </c>
      <c r="E644" s="285" t="s">
        <v>984</v>
      </c>
      <c r="F644" s="497" t="s">
        <v>9</v>
      </c>
      <c r="G644" s="283">
        <f t="shared" ref="G644:R644" si="306">G645+G646</f>
        <v>0</v>
      </c>
      <c r="H644" s="283">
        <f t="shared" si="306"/>
        <v>0</v>
      </c>
      <c r="I644" s="283">
        <f t="shared" si="306"/>
        <v>0</v>
      </c>
      <c r="J644" s="283">
        <f t="shared" si="306"/>
        <v>0</v>
      </c>
      <c r="K644" s="283">
        <f t="shared" si="306"/>
        <v>40</v>
      </c>
      <c r="L644" s="283">
        <f t="shared" si="306"/>
        <v>168.5</v>
      </c>
      <c r="M644" s="568">
        <f t="shared" si="306"/>
        <v>0</v>
      </c>
      <c r="N644" s="568">
        <f t="shared" si="306"/>
        <v>0</v>
      </c>
      <c r="O644" s="132">
        <f t="shared" si="306"/>
        <v>0</v>
      </c>
      <c r="P644" s="132">
        <f t="shared" si="306"/>
        <v>0</v>
      </c>
      <c r="Q644" s="132">
        <f t="shared" si="306"/>
        <v>0</v>
      </c>
      <c r="R644" s="132">
        <f t="shared" si="306"/>
        <v>0</v>
      </c>
      <c r="S644" s="132">
        <f t="shared" si="273"/>
        <v>208.5</v>
      </c>
    </row>
    <row r="645" spans="1:19" s="80" customFormat="1" ht="31.15" hidden="1" x14ac:dyDescent="0.3">
      <c r="A645" s="264" t="s">
        <v>124</v>
      </c>
      <c r="B645" s="380" t="s">
        <v>76</v>
      </c>
      <c r="C645" s="488" t="s">
        <v>58</v>
      </c>
      <c r="D645" s="380" t="s">
        <v>36</v>
      </c>
      <c r="E645" s="265" t="s">
        <v>984</v>
      </c>
      <c r="F645" s="380" t="s">
        <v>117</v>
      </c>
      <c r="G645" s="283"/>
      <c r="H645" s="304"/>
      <c r="I645" s="394"/>
      <c r="J645" s="282"/>
      <c r="K645" s="303"/>
      <c r="L645" s="283"/>
      <c r="M645" s="568"/>
      <c r="N645" s="568"/>
      <c r="O645" s="132"/>
      <c r="P645" s="132"/>
      <c r="Q645" s="132"/>
      <c r="R645" s="132"/>
      <c r="S645" s="131">
        <f t="shared" si="273"/>
        <v>0</v>
      </c>
    </row>
    <row r="646" spans="1:19" s="80" customFormat="1" ht="31.5" x14ac:dyDescent="0.25">
      <c r="A646" s="264" t="s">
        <v>124</v>
      </c>
      <c r="B646" s="380" t="s">
        <v>76</v>
      </c>
      <c r="C646" s="488" t="s">
        <v>58</v>
      </c>
      <c r="D646" s="380" t="s">
        <v>36</v>
      </c>
      <c r="E646" s="265" t="s">
        <v>984</v>
      </c>
      <c r="F646" s="380" t="s">
        <v>117</v>
      </c>
      <c r="G646" s="283"/>
      <c r="H646" s="304"/>
      <c r="I646" s="394"/>
      <c r="J646" s="282"/>
      <c r="K646" s="303">
        <v>40</v>
      </c>
      <c r="L646" s="282">
        <v>168.5</v>
      </c>
      <c r="M646" s="568"/>
      <c r="N646" s="568"/>
      <c r="O646" s="132"/>
      <c r="P646" s="132"/>
      <c r="Q646" s="132"/>
      <c r="R646" s="132"/>
      <c r="S646" s="566">
        <f t="shared" si="273"/>
        <v>208.5</v>
      </c>
    </row>
    <row r="647" spans="1:19" s="80" customFormat="1" ht="31.15" hidden="1" x14ac:dyDescent="0.3">
      <c r="A647" s="267" t="s">
        <v>954</v>
      </c>
      <c r="B647" s="497" t="s">
        <v>76</v>
      </c>
      <c r="C647" s="496" t="s">
        <v>58</v>
      </c>
      <c r="D647" s="497" t="s">
        <v>36</v>
      </c>
      <c r="E647" s="285" t="s">
        <v>985</v>
      </c>
      <c r="F647" s="497" t="s">
        <v>9</v>
      </c>
      <c r="G647" s="283">
        <f t="shared" ref="G647:R647" si="307">G648</f>
        <v>0</v>
      </c>
      <c r="H647" s="304">
        <f t="shared" si="307"/>
        <v>0</v>
      </c>
      <c r="I647" s="283">
        <f t="shared" si="307"/>
        <v>0</v>
      </c>
      <c r="J647" s="283">
        <f t="shared" si="307"/>
        <v>0</v>
      </c>
      <c r="K647" s="283">
        <f t="shared" si="307"/>
        <v>0</v>
      </c>
      <c r="L647" s="283">
        <f t="shared" si="307"/>
        <v>0</v>
      </c>
      <c r="M647" s="568">
        <f t="shared" si="307"/>
        <v>0</v>
      </c>
      <c r="N647" s="568">
        <f t="shared" si="307"/>
        <v>0</v>
      </c>
      <c r="O647" s="569">
        <f t="shared" si="307"/>
        <v>0</v>
      </c>
      <c r="P647" s="569">
        <f t="shared" si="307"/>
        <v>0</v>
      </c>
      <c r="Q647" s="569">
        <f t="shared" si="307"/>
        <v>0</v>
      </c>
      <c r="R647" s="569">
        <f t="shared" si="307"/>
        <v>0</v>
      </c>
      <c r="S647" s="131">
        <f t="shared" si="273"/>
        <v>0</v>
      </c>
    </row>
    <row r="648" spans="1:19" s="80" customFormat="1" ht="31.15" hidden="1" x14ac:dyDescent="0.3">
      <c r="A648" s="264" t="s">
        <v>124</v>
      </c>
      <c r="B648" s="380" t="s">
        <v>76</v>
      </c>
      <c r="C648" s="488" t="s">
        <v>58</v>
      </c>
      <c r="D648" s="380" t="s">
        <v>36</v>
      </c>
      <c r="E648" s="265" t="s">
        <v>985</v>
      </c>
      <c r="F648" s="380" t="s">
        <v>117</v>
      </c>
      <c r="G648" s="283"/>
      <c r="H648" s="304"/>
      <c r="I648" s="283"/>
      <c r="J648" s="282"/>
      <c r="K648" s="282"/>
      <c r="L648" s="283"/>
      <c r="M648" s="568"/>
      <c r="N648" s="568"/>
      <c r="O648" s="132"/>
      <c r="P648" s="132"/>
      <c r="Q648" s="132"/>
      <c r="R648" s="132"/>
      <c r="S648" s="131">
        <f t="shared" ref="S648:S717" si="308">G648+H648+I648+J648+K648+L648+M648+N648+O648+P648+Q648+R648</f>
        <v>0</v>
      </c>
    </row>
    <row r="649" spans="1:19" s="80" customFormat="1" ht="15.6" hidden="1" x14ac:dyDescent="0.3">
      <c r="A649" s="264" t="s">
        <v>33</v>
      </c>
      <c r="B649" s="380" t="s">
        <v>76</v>
      </c>
      <c r="C649" s="488" t="s">
        <v>58</v>
      </c>
      <c r="D649" s="380" t="s">
        <v>36</v>
      </c>
      <c r="E649" s="265" t="s">
        <v>992</v>
      </c>
      <c r="F649" s="380" t="s">
        <v>9</v>
      </c>
      <c r="G649" s="283">
        <f t="shared" ref="G649:R649" si="309">G651</f>
        <v>0</v>
      </c>
      <c r="H649" s="304">
        <f t="shared" si="309"/>
        <v>0</v>
      </c>
      <c r="I649" s="283">
        <f t="shared" si="309"/>
        <v>0</v>
      </c>
      <c r="J649" s="283">
        <f t="shared" si="309"/>
        <v>0</v>
      </c>
      <c r="K649" s="283">
        <f t="shared" si="309"/>
        <v>0</v>
      </c>
      <c r="L649" s="283">
        <f t="shared" si="309"/>
        <v>0</v>
      </c>
      <c r="M649" s="568">
        <f t="shared" si="309"/>
        <v>0</v>
      </c>
      <c r="N649" s="568">
        <f t="shared" si="309"/>
        <v>0</v>
      </c>
      <c r="O649" s="569">
        <f t="shared" si="309"/>
        <v>0</v>
      </c>
      <c r="P649" s="569">
        <f t="shared" si="309"/>
        <v>0</v>
      </c>
      <c r="Q649" s="569">
        <f t="shared" si="309"/>
        <v>0</v>
      </c>
      <c r="R649" s="569">
        <f t="shared" si="309"/>
        <v>0</v>
      </c>
      <c r="S649" s="132">
        <f t="shared" si="308"/>
        <v>0</v>
      </c>
    </row>
    <row r="650" spans="1:19" s="80" customFormat="1" ht="31.15" hidden="1" x14ac:dyDescent="0.3">
      <c r="A650" s="267" t="s">
        <v>1056</v>
      </c>
      <c r="B650" s="380" t="s">
        <v>76</v>
      </c>
      <c r="C650" s="488" t="s">
        <v>58</v>
      </c>
      <c r="D650" s="380" t="s">
        <v>36</v>
      </c>
      <c r="E650" s="265" t="s">
        <v>1057</v>
      </c>
      <c r="F650" s="380" t="s">
        <v>9</v>
      </c>
      <c r="G650" s="283">
        <f t="shared" ref="G650:R650" si="310">G651</f>
        <v>0</v>
      </c>
      <c r="H650" s="304">
        <f t="shared" si="310"/>
        <v>0</v>
      </c>
      <c r="I650" s="283">
        <f t="shared" si="310"/>
        <v>0</v>
      </c>
      <c r="J650" s="283">
        <f t="shared" si="310"/>
        <v>0</v>
      </c>
      <c r="K650" s="283">
        <f t="shared" si="310"/>
        <v>0</v>
      </c>
      <c r="L650" s="283">
        <f t="shared" si="310"/>
        <v>0</v>
      </c>
      <c r="M650" s="568">
        <f t="shared" si="310"/>
        <v>0</v>
      </c>
      <c r="N650" s="568">
        <f t="shared" si="310"/>
        <v>0</v>
      </c>
      <c r="O650" s="569">
        <f t="shared" si="310"/>
        <v>0</v>
      </c>
      <c r="P650" s="569">
        <f t="shared" si="310"/>
        <v>0</v>
      </c>
      <c r="Q650" s="569">
        <f t="shared" si="310"/>
        <v>0</v>
      </c>
      <c r="R650" s="569">
        <f t="shared" si="310"/>
        <v>0</v>
      </c>
      <c r="S650" s="132">
        <f t="shared" si="308"/>
        <v>0</v>
      </c>
    </row>
    <row r="651" spans="1:19" s="80" customFormat="1" ht="15.6" hidden="1" x14ac:dyDescent="0.3">
      <c r="A651" s="264" t="s">
        <v>116</v>
      </c>
      <c r="B651" s="380" t="s">
        <v>76</v>
      </c>
      <c r="C651" s="488" t="s">
        <v>58</v>
      </c>
      <c r="D651" s="380" t="s">
        <v>36</v>
      </c>
      <c r="E651" s="265" t="s">
        <v>1057</v>
      </c>
      <c r="F651" s="380" t="s">
        <v>114</v>
      </c>
      <c r="G651" s="283"/>
      <c r="H651" s="304"/>
      <c r="I651" s="283"/>
      <c r="J651" s="282"/>
      <c r="K651" s="282"/>
      <c r="L651" s="283"/>
      <c r="M651" s="568"/>
      <c r="N651" s="568"/>
      <c r="O651" s="132"/>
      <c r="P651" s="131"/>
      <c r="Q651" s="132"/>
      <c r="R651" s="132"/>
      <c r="S651" s="131">
        <f t="shared" si="308"/>
        <v>0</v>
      </c>
    </row>
    <row r="652" spans="1:19" s="80" customFormat="1" ht="31.5" x14ac:dyDescent="0.25">
      <c r="A652" s="289" t="s">
        <v>68</v>
      </c>
      <c r="B652" s="497" t="s">
        <v>76</v>
      </c>
      <c r="C652" s="496" t="s">
        <v>58</v>
      </c>
      <c r="D652" s="497" t="s">
        <v>36</v>
      </c>
      <c r="E652" s="285" t="s">
        <v>404</v>
      </c>
      <c r="F652" s="497" t="s">
        <v>9</v>
      </c>
      <c r="G652" s="283">
        <f t="shared" ref="G652:N652" si="311">G653+G655</f>
        <v>0</v>
      </c>
      <c r="H652" s="304">
        <f t="shared" si="311"/>
        <v>0</v>
      </c>
      <c r="I652" s="283">
        <f t="shared" si="311"/>
        <v>0</v>
      </c>
      <c r="J652" s="283">
        <f t="shared" si="311"/>
        <v>1165.3</v>
      </c>
      <c r="K652" s="283">
        <f t="shared" si="311"/>
        <v>0</v>
      </c>
      <c r="L652" s="283">
        <f t="shared" si="311"/>
        <v>0</v>
      </c>
      <c r="M652" s="568">
        <f t="shared" si="311"/>
        <v>634</v>
      </c>
      <c r="N652" s="568">
        <f t="shared" si="311"/>
        <v>323</v>
      </c>
      <c r="O652" s="569">
        <f>O653+O655+O654</f>
        <v>0</v>
      </c>
      <c r="P652" s="569">
        <f>P653+P655+P654</f>
        <v>0</v>
      </c>
      <c r="Q652" s="569">
        <f>Q653+Q655+Q654</f>
        <v>0</v>
      </c>
      <c r="R652" s="569">
        <f>R653+R655+R654</f>
        <v>0</v>
      </c>
      <c r="S652" s="132">
        <f t="shared" si="308"/>
        <v>2122.3000000000002</v>
      </c>
    </row>
    <row r="653" spans="1:19" s="80" customFormat="1" ht="31.5" x14ac:dyDescent="0.25">
      <c r="A653" s="264" t="s">
        <v>124</v>
      </c>
      <c r="B653" s="380" t="s">
        <v>76</v>
      </c>
      <c r="C653" s="488" t="s">
        <v>58</v>
      </c>
      <c r="D653" s="380" t="s">
        <v>36</v>
      </c>
      <c r="E653" s="265" t="s">
        <v>404</v>
      </c>
      <c r="F653" s="380" t="s">
        <v>117</v>
      </c>
      <c r="G653" s="282"/>
      <c r="H653" s="303"/>
      <c r="I653" s="395"/>
      <c r="J653" s="303">
        <v>1165.3</v>
      </c>
      <c r="K653" s="265"/>
      <c r="L653" s="265"/>
      <c r="M653" s="602">
        <v>634</v>
      </c>
      <c r="N653" s="570">
        <v>323</v>
      </c>
      <c r="O653" s="571"/>
      <c r="P653" s="571"/>
      <c r="Q653" s="571"/>
      <c r="R653" s="571"/>
      <c r="S653" s="566">
        <f t="shared" si="308"/>
        <v>2122.3000000000002</v>
      </c>
    </row>
    <row r="654" spans="1:19" s="80" customFormat="1" ht="31.15" hidden="1" x14ac:dyDescent="0.3">
      <c r="A654" s="264" t="s">
        <v>469</v>
      </c>
      <c r="B654" s="380" t="s">
        <v>76</v>
      </c>
      <c r="C654" s="488" t="s">
        <v>58</v>
      </c>
      <c r="D654" s="380" t="s">
        <v>36</v>
      </c>
      <c r="E654" s="265" t="s">
        <v>404</v>
      </c>
      <c r="F654" s="380">
        <v>400</v>
      </c>
      <c r="G654" s="282"/>
      <c r="H654" s="303"/>
      <c r="I654" s="395"/>
      <c r="J654" s="282"/>
      <c r="K654" s="265"/>
      <c r="L654" s="265"/>
      <c r="M654" s="570"/>
      <c r="N654" s="570"/>
      <c r="O654" s="571"/>
      <c r="P654" s="571"/>
      <c r="Q654" s="571"/>
      <c r="R654" s="571"/>
      <c r="S654" s="131">
        <f t="shared" si="308"/>
        <v>0</v>
      </c>
    </row>
    <row r="655" spans="1:19" s="80" customFormat="1" ht="15.6" hidden="1" x14ac:dyDescent="0.3">
      <c r="A655" s="264" t="s">
        <v>813</v>
      </c>
      <c r="B655" s="380" t="s">
        <v>76</v>
      </c>
      <c r="C655" s="488" t="s">
        <v>58</v>
      </c>
      <c r="D655" s="380" t="s">
        <v>36</v>
      </c>
      <c r="E655" s="265" t="s">
        <v>404</v>
      </c>
      <c r="F655" s="380">
        <v>500</v>
      </c>
      <c r="G655" s="282"/>
      <c r="H655" s="303"/>
      <c r="I655" s="265"/>
      <c r="J655" s="282"/>
      <c r="K655" s="265"/>
      <c r="L655" s="265"/>
      <c r="M655" s="570"/>
      <c r="N655" s="570"/>
      <c r="O655" s="571"/>
      <c r="P655" s="571"/>
      <c r="Q655" s="571"/>
      <c r="R655" s="571"/>
      <c r="S655" s="131">
        <f t="shared" si="308"/>
        <v>0</v>
      </c>
    </row>
    <row r="656" spans="1:19" s="80" customFormat="1" x14ac:dyDescent="0.25">
      <c r="A656" s="267" t="s">
        <v>649</v>
      </c>
      <c r="B656" s="497" t="s">
        <v>76</v>
      </c>
      <c r="C656" s="496" t="s">
        <v>58</v>
      </c>
      <c r="D656" s="497" t="s">
        <v>20</v>
      </c>
      <c r="E656" s="285" t="s">
        <v>365</v>
      </c>
      <c r="F656" s="497" t="s">
        <v>9</v>
      </c>
      <c r="G656" s="283">
        <f t="shared" ref="G656:M656" si="312">G657</f>
        <v>2787.1</v>
      </c>
      <c r="H656" s="304">
        <f t="shared" si="312"/>
        <v>592.20000000000005</v>
      </c>
      <c r="I656" s="283">
        <f t="shared" si="312"/>
        <v>0</v>
      </c>
      <c r="J656" s="283">
        <f t="shared" si="312"/>
        <v>0</v>
      </c>
      <c r="K656" s="283">
        <f t="shared" si="312"/>
        <v>0</v>
      </c>
      <c r="L656" s="283">
        <f t="shared" si="312"/>
        <v>-0.153</v>
      </c>
      <c r="M656" s="568">
        <f t="shared" si="312"/>
        <v>-0.04</v>
      </c>
      <c r="N656" s="568">
        <f>N657+N667</f>
        <v>0.02</v>
      </c>
      <c r="O656" s="569">
        <f>O657+O667</f>
        <v>0</v>
      </c>
      <c r="P656" s="569">
        <f>P657+P667</f>
        <v>0</v>
      </c>
      <c r="Q656" s="569">
        <f>Q657+Q667</f>
        <v>0</v>
      </c>
      <c r="R656" s="569">
        <f>R657+R667</f>
        <v>0</v>
      </c>
      <c r="S656" s="132">
        <f t="shared" si="308"/>
        <v>3379.1270000000004</v>
      </c>
    </row>
    <row r="657" spans="1:19" s="80" customFormat="1" ht="31.5" x14ac:dyDescent="0.25">
      <c r="A657" s="267" t="s">
        <v>784</v>
      </c>
      <c r="B657" s="497" t="s">
        <v>76</v>
      </c>
      <c r="C657" s="496" t="s">
        <v>58</v>
      </c>
      <c r="D657" s="497" t="s">
        <v>20</v>
      </c>
      <c r="E657" s="285" t="s">
        <v>380</v>
      </c>
      <c r="F657" s="497" t="s">
        <v>9</v>
      </c>
      <c r="G657" s="283">
        <f t="shared" ref="G657:M657" si="313">G658+G662+G665+G667</f>
        <v>2787.1</v>
      </c>
      <c r="H657" s="304">
        <f t="shared" si="313"/>
        <v>592.20000000000005</v>
      </c>
      <c r="I657" s="283">
        <f t="shared" si="313"/>
        <v>0</v>
      </c>
      <c r="J657" s="283">
        <f t="shared" si="313"/>
        <v>0</v>
      </c>
      <c r="K657" s="283">
        <f t="shared" si="313"/>
        <v>0</v>
      </c>
      <c r="L657" s="283">
        <f t="shared" si="313"/>
        <v>-0.153</v>
      </c>
      <c r="M657" s="568">
        <f t="shared" si="313"/>
        <v>-0.04</v>
      </c>
      <c r="N657" s="568">
        <f>N665+N662+N658</f>
        <v>0.02</v>
      </c>
      <c r="O657" s="569">
        <f>O665+O662+O658</f>
        <v>0</v>
      </c>
      <c r="P657" s="569">
        <f>P665+P662+P658</f>
        <v>0</v>
      </c>
      <c r="Q657" s="569">
        <f>Q665+Q662+Q658</f>
        <v>0</v>
      </c>
      <c r="R657" s="569">
        <f>R665+R662+R658</f>
        <v>0</v>
      </c>
      <c r="S657" s="132">
        <f t="shared" si="308"/>
        <v>3379.1270000000004</v>
      </c>
    </row>
    <row r="658" spans="1:19" s="80" customFormat="1" ht="46.9" hidden="1" x14ac:dyDescent="0.3">
      <c r="A658" s="267" t="s">
        <v>41</v>
      </c>
      <c r="B658" s="497" t="s">
        <v>76</v>
      </c>
      <c r="C658" s="496" t="s">
        <v>58</v>
      </c>
      <c r="D658" s="497" t="s">
        <v>20</v>
      </c>
      <c r="E658" s="285" t="s">
        <v>414</v>
      </c>
      <c r="F658" s="497" t="s">
        <v>9</v>
      </c>
      <c r="G658" s="283">
        <f t="shared" ref="G658:R658" si="314">G659</f>
        <v>0</v>
      </c>
      <c r="H658" s="304">
        <f t="shared" si="314"/>
        <v>0</v>
      </c>
      <c r="I658" s="283">
        <f t="shared" si="314"/>
        <v>0</v>
      </c>
      <c r="J658" s="283">
        <f t="shared" si="314"/>
        <v>0</v>
      </c>
      <c r="K658" s="283">
        <f t="shared" si="314"/>
        <v>0</v>
      </c>
      <c r="L658" s="283">
        <f t="shared" si="314"/>
        <v>0</v>
      </c>
      <c r="M658" s="568">
        <f t="shared" si="314"/>
        <v>0</v>
      </c>
      <c r="N658" s="568">
        <f t="shared" si="314"/>
        <v>0</v>
      </c>
      <c r="O658" s="569">
        <f t="shared" si="314"/>
        <v>0</v>
      </c>
      <c r="P658" s="569">
        <f t="shared" si="314"/>
        <v>0</v>
      </c>
      <c r="Q658" s="569">
        <f t="shared" si="314"/>
        <v>0</v>
      </c>
      <c r="R658" s="569">
        <f t="shared" si="314"/>
        <v>0</v>
      </c>
      <c r="S658" s="132">
        <f t="shared" si="308"/>
        <v>0</v>
      </c>
    </row>
    <row r="659" spans="1:19" s="80" customFormat="1" ht="15.6" hidden="1" x14ac:dyDescent="0.3">
      <c r="A659" s="267" t="s">
        <v>986</v>
      </c>
      <c r="B659" s="497" t="s">
        <v>76</v>
      </c>
      <c r="C659" s="496" t="s">
        <v>58</v>
      </c>
      <c r="D659" s="497" t="s">
        <v>20</v>
      </c>
      <c r="E659" s="285" t="s">
        <v>987</v>
      </c>
      <c r="F659" s="497" t="s">
        <v>9</v>
      </c>
      <c r="G659" s="283">
        <f t="shared" ref="G659:Q659" si="315">G660+G661</f>
        <v>0</v>
      </c>
      <c r="H659" s="304">
        <f t="shared" si="315"/>
        <v>0</v>
      </c>
      <c r="I659" s="283">
        <f t="shared" si="315"/>
        <v>0</v>
      </c>
      <c r="J659" s="283">
        <f t="shared" si="315"/>
        <v>0</v>
      </c>
      <c r="K659" s="283">
        <f t="shared" si="315"/>
        <v>0</v>
      </c>
      <c r="L659" s="283">
        <f t="shared" si="315"/>
        <v>0</v>
      </c>
      <c r="M659" s="568">
        <f t="shared" si="315"/>
        <v>0</v>
      </c>
      <c r="N659" s="568">
        <f t="shared" si="315"/>
        <v>0</v>
      </c>
      <c r="O659" s="569">
        <f t="shared" si="315"/>
        <v>0</v>
      </c>
      <c r="P659" s="569">
        <f t="shared" si="315"/>
        <v>0</v>
      </c>
      <c r="Q659" s="569">
        <f t="shared" si="315"/>
        <v>0</v>
      </c>
      <c r="R659" s="569"/>
      <c r="S659" s="132">
        <f t="shared" si="308"/>
        <v>0</v>
      </c>
    </row>
    <row r="660" spans="1:19" s="80" customFormat="1" ht="31.15" hidden="1" x14ac:dyDescent="0.3">
      <c r="A660" s="264" t="s">
        <v>124</v>
      </c>
      <c r="B660" s="380" t="s">
        <v>76</v>
      </c>
      <c r="C660" s="488" t="s">
        <v>58</v>
      </c>
      <c r="D660" s="380" t="s">
        <v>20</v>
      </c>
      <c r="E660" s="265" t="s">
        <v>987</v>
      </c>
      <c r="F660" s="380" t="s">
        <v>117</v>
      </c>
      <c r="G660" s="283"/>
      <c r="H660" s="304"/>
      <c r="I660" s="283"/>
      <c r="J660" s="282"/>
      <c r="K660" s="283"/>
      <c r="L660" s="283"/>
      <c r="M660" s="568"/>
      <c r="N660" s="568"/>
      <c r="O660" s="132"/>
      <c r="P660" s="132"/>
      <c r="Q660" s="132"/>
      <c r="R660" s="132"/>
      <c r="S660" s="131">
        <f t="shared" si="308"/>
        <v>0</v>
      </c>
    </row>
    <row r="661" spans="1:19" s="80" customFormat="1" ht="15.6" hidden="1" x14ac:dyDescent="0.3">
      <c r="A661" s="264" t="s">
        <v>813</v>
      </c>
      <c r="B661" s="380" t="s">
        <v>76</v>
      </c>
      <c r="C661" s="488" t="s">
        <v>58</v>
      </c>
      <c r="D661" s="380" t="s">
        <v>20</v>
      </c>
      <c r="E661" s="265" t="s">
        <v>987</v>
      </c>
      <c r="F661" s="380" t="s">
        <v>119</v>
      </c>
      <c r="G661" s="283"/>
      <c r="H661" s="304"/>
      <c r="I661" s="283"/>
      <c r="J661" s="282"/>
      <c r="K661" s="283"/>
      <c r="L661" s="283"/>
      <c r="M661" s="568"/>
      <c r="N661" s="568"/>
      <c r="O661" s="132"/>
      <c r="P661" s="132"/>
      <c r="Q661" s="132"/>
      <c r="R661" s="132"/>
      <c r="S661" s="131">
        <f t="shared" si="308"/>
        <v>0</v>
      </c>
    </row>
    <row r="662" spans="1:19" s="80" customFormat="1" ht="15.6" hidden="1" x14ac:dyDescent="0.3">
      <c r="A662" s="267" t="s">
        <v>986</v>
      </c>
      <c r="B662" s="497" t="s">
        <v>76</v>
      </c>
      <c r="C662" s="496" t="s">
        <v>58</v>
      </c>
      <c r="D662" s="497" t="s">
        <v>20</v>
      </c>
      <c r="E662" s="285" t="s">
        <v>988</v>
      </c>
      <c r="F662" s="497" t="s">
        <v>9</v>
      </c>
      <c r="G662" s="283">
        <f t="shared" ref="G662:R662" si="316">G663+G664</f>
        <v>0</v>
      </c>
      <c r="H662" s="304">
        <f t="shared" si="316"/>
        <v>0</v>
      </c>
      <c r="I662" s="283">
        <f t="shared" si="316"/>
        <v>0</v>
      </c>
      <c r="J662" s="283">
        <f t="shared" si="316"/>
        <v>0</v>
      </c>
      <c r="K662" s="283">
        <f t="shared" si="316"/>
        <v>0</v>
      </c>
      <c r="L662" s="283">
        <f t="shared" si="316"/>
        <v>0</v>
      </c>
      <c r="M662" s="568">
        <f t="shared" si="316"/>
        <v>0</v>
      </c>
      <c r="N662" s="568">
        <f t="shared" si="316"/>
        <v>0</v>
      </c>
      <c r="O662" s="569">
        <f t="shared" si="316"/>
        <v>0</v>
      </c>
      <c r="P662" s="569">
        <f t="shared" si="316"/>
        <v>0</v>
      </c>
      <c r="Q662" s="569">
        <f t="shared" si="316"/>
        <v>0</v>
      </c>
      <c r="R662" s="569">
        <f t="shared" si="316"/>
        <v>0</v>
      </c>
      <c r="S662" s="132">
        <f t="shared" si="308"/>
        <v>0</v>
      </c>
    </row>
    <row r="663" spans="1:19" s="80" customFormat="1" ht="31.15" hidden="1" x14ac:dyDescent="0.3">
      <c r="A663" s="264" t="s">
        <v>124</v>
      </c>
      <c r="B663" s="380" t="s">
        <v>76</v>
      </c>
      <c r="C663" s="488" t="s">
        <v>58</v>
      </c>
      <c r="D663" s="380" t="s">
        <v>20</v>
      </c>
      <c r="E663" s="265" t="s">
        <v>988</v>
      </c>
      <c r="F663" s="380" t="s">
        <v>117</v>
      </c>
      <c r="G663" s="283"/>
      <c r="H663" s="304"/>
      <c r="I663" s="283"/>
      <c r="J663" s="282"/>
      <c r="K663" s="283"/>
      <c r="L663" s="283"/>
      <c r="M663" s="568"/>
      <c r="N663" s="568"/>
      <c r="O663" s="132"/>
      <c r="P663" s="132"/>
      <c r="Q663" s="132"/>
      <c r="R663" s="132"/>
      <c r="S663" s="131">
        <f t="shared" si="308"/>
        <v>0</v>
      </c>
    </row>
    <row r="664" spans="1:19" s="80" customFormat="1" ht="15.6" hidden="1" x14ac:dyDescent="0.3">
      <c r="A664" s="264" t="s">
        <v>813</v>
      </c>
      <c r="B664" s="380" t="s">
        <v>76</v>
      </c>
      <c r="C664" s="488" t="s">
        <v>58</v>
      </c>
      <c r="D664" s="380" t="s">
        <v>20</v>
      </c>
      <c r="E664" s="265" t="s">
        <v>988</v>
      </c>
      <c r="F664" s="380" t="s">
        <v>119</v>
      </c>
      <c r="G664" s="283"/>
      <c r="H664" s="304"/>
      <c r="I664" s="283"/>
      <c r="J664" s="282"/>
      <c r="K664" s="283"/>
      <c r="L664" s="283"/>
      <c r="M664" s="568"/>
      <c r="N664" s="568"/>
      <c r="O664" s="132"/>
      <c r="P664" s="132"/>
      <c r="Q664" s="132"/>
      <c r="R664" s="132"/>
      <c r="S664" s="131">
        <f t="shared" si="308"/>
        <v>0</v>
      </c>
    </row>
    <row r="665" spans="1:19" s="80" customFormat="1" ht="31.5" x14ac:dyDescent="0.25">
      <c r="A665" s="289" t="s">
        <v>68</v>
      </c>
      <c r="B665" s="497" t="s">
        <v>76</v>
      </c>
      <c r="C665" s="496" t="s">
        <v>58</v>
      </c>
      <c r="D665" s="497" t="s">
        <v>20</v>
      </c>
      <c r="E665" s="285" t="s">
        <v>404</v>
      </c>
      <c r="F665" s="497" t="s">
        <v>9</v>
      </c>
      <c r="G665" s="283">
        <f t="shared" ref="G665:R665" si="317">G666</f>
        <v>0</v>
      </c>
      <c r="H665" s="304">
        <f t="shared" si="317"/>
        <v>592.20000000000005</v>
      </c>
      <c r="I665" s="283">
        <f t="shared" si="317"/>
        <v>0</v>
      </c>
      <c r="J665" s="283">
        <f t="shared" si="317"/>
        <v>0</v>
      </c>
      <c r="K665" s="283">
        <f t="shared" si="317"/>
        <v>0</v>
      </c>
      <c r="L665" s="283">
        <f t="shared" si="317"/>
        <v>0</v>
      </c>
      <c r="M665" s="568">
        <f t="shared" si="317"/>
        <v>-0.04</v>
      </c>
      <c r="N665" s="568">
        <f t="shared" si="317"/>
        <v>0.02</v>
      </c>
      <c r="O665" s="569">
        <f t="shared" si="317"/>
        <v>0</v>
      </c>
      <c r="P665" s="569">
        <f t="shared" si="317"/>
        <v>0</v>
      </c>
      <c r="Q665" s="569">
        <f t="shared" si="317"/>
        <v>0</v>
      </c>
      <c r="R665" s="569">
        <f t="shared" si="317"/>
        <v>0</v>
      </c>
      <c r="S665" s="132">
        <f t="shared" si="308"/>
        <v>592.18000000000006</v>
      </c>
    </row>
    <row r="666" spans="1:19" s="80" customFormat="1" x14ac:dyDescent="0.25">
      <c r="A666" s="264" t="s">
        <v>123</v>
      </c>
      <c r="B666" s="380" t="s">
        <v>76</v>
      </c>
      <c r="C666" s="488" t="s">
        <v>58</v>
      </c>
      <c r="D666" s="380" t="s">
        <v>20</v>
      </c>
      <c r="E666" s="265" t="s">
        <v>404</v>
      </c>
      <c r="F666" s="380" t="s">
        <v>119</v>
      </c>
      <c r="G666" s="282"/>
      <c r="H666" s="303">
        <v>592.20000000000005</v>
      </c>
      <c r="I666" s="265"/>
      <c r="J666" s="265"/>
      <c r="K666" s="265"/>
      <c r="L666" s="265"/>
      <c r="M666" s="612">
        <v>-0.04</v>
      </c>
      <c r="N666" s="570">
        <v>0.02</v>
      </c>
      <c r="O666" s="571"/>
      <c r="P666" s="571"/>
      <c r="Q666" s="571"/>
      <c r="R666" s="571"/>
      <c r="S666" s="566">
        <f t="shared" si="308"/>
        <v>592.18000000000006</v>
      </c>
    </row>
    <row r="667" spans="1:19" s="77" customFormat="1" ht="31.5" x14ac:dyDescent="0.25">
      <c r="A667" s="267" t="s">
        <v>52</v>
      </c>
      <c r="B667" s="497" t="s">
        <v>76</v>
      </c>
      <c r="C667" s="496" t="s">
        <v>58</v>
      </c>
      <c r="D667" s="497" t="s">
        <v>20</v>
      </c>
      <c r="E667" s="285" t="s">
        <v>394</v>
      </c>
      <c r="F667" s="497" t="s">
        <v>9</v>
      </c>
      <c r="G667" s="283">
        <f t="shared" ref="G667:R667" si="318">G668+G672</f>
        <v>2787.1</v>
      </c>
      <c r="H667" s="304">
        <f t="shared" si="318"/>
        <v>0</v>
      </c>
      <c r="I667" s="283">
        <f t="shared" si="318"/>
        <v>0</v>
      </c>
      <c r="J667" s="283">
        <f t="shared" si="318"/>
        <v>0</v>
      </c>
      <c r="K667" s="283">
        <f t="shared" si="318"/>
        <v>0</v>
      </c>
      <c r="L667" s="283">
        <f t="shared" si="318"/>
        <v>-0.153</v>
      </c>
      <c r="M667" s="568">
        <f t="shared" si="318"/>
        <v>0</v>
      </c>
      <c r="N667" s="568">
        <f t="shared" si="318"/>
        <v>0</v>
      </c>
      <c r="O667" s="569">
        <f t="shared" si="318"/>
        <v>0</v>
      </c>
      <c r="P667" s="569">
        <f t="shared" si="318"/>
        <v>0</v>
      </c>
      <c r="Q667" s="569">
        <f t="shared" si="318"/>
        <v>0</v>
      </c>
      <c r="R667" s="569">
        <f t="shared" si="318"/>
        <v>0</v>
      </c>
      <c r="S667" s="132">
        <f t="shared" si="308"/>
        <v>2786.9470000000001</v>
      </c>
    </row>
    <row r="668" spans="1:19" s="80" customFormat="1" ht="47.25" x14ac:dyDescent="0.25">
      <c r="A668" s="267" t="s">
        <v>41</v>
      </c>
      <c r="B668" s="497" t="s">
        <v>76</v>
      </c>
      <c r="C668" s="496" t="s">
        <v>58</v>
      </c>
      <c r="D668" s="497" t="s">
        <v>20</v>
      </c>
      <c r="E668" s="285" t="s">
        <v>438</v>
      </c>
      <c r="F668" s="497" t="s">
        <v>9</v>
      </c>
      <c r="G668" s="283">
        <f t="shared" ref="G668:R668" si="319">G669</f>
        <v>2647.6</v>
      </c>
      <c r="H668" s="304">
        <f t="shared" si="319"/>
        <v>0</v>
      </c>
      <c r="I668" s="283">
        <f t="shared" si="319"/>
        <v>0</v>
      </c>
      <c r="J668" s="283">
        <f t="shared" si="319"/>
        <v>0</v>
      </c>
      <c r="K668" s="283">
        <f t="shared" si="319"/>
        <v>0</v>
      </c>
      <c r="L668" s="283">
        <f t="shared" si="319"/>
        <v>-3.5E-4</v>
      </c>
      <c r="M668" s="568">
        <f t="shared" si="319"/>
        <v>0</v>
      </c>
      <c r="N668" s="568">
        <f t="shared" si="319"/>
        <v>0</v>
      </c>
      <c r="O668" s="569">
        <f t="shared" si="319"/>
        <v>0</v>
      </c>
      <c r="P668" s="569">
        <f t="shared" si="319"/>
        <v>0</v>
      </c>
      <c r="Q668" s="569">
        <f t="shared" si="319"/>
        <v>0</v>
      </c>
      <c r="R668" s="569">
        <f t="shared" si="319"/>
        <v>0</v>
      </c>
      <c r="S668" s="132">
        <f t="shared" si="308"/>
        <v>2647.5996500000001</v>
      </c>
    </row>
    <row r="669" spans="1:19" s="80" customFormat="1" x14ac:dyDescent="0.25">
      <c r="A669" s="267" t="s">
        <v>986</v>
      </c>
      <c r="B669" s="497" t="s">
        <v>76</v>
      </c>
      <c r="C669" s="496" t="s">
        <v>58</v>
      </c>
      <c r="D669" s="497" t="s">
        <v>20</v>
      </c>
      <c r="E669" s="285" t="s">
        <v>989</v>
      </c>
      <c r="F669" s="497" t="s">
        <v>9</v>
      </c>
      <c r="G669" s="283">
        <f t="shared" ref="G669:R669" si="320">G670+G671</f>
        <v>2647.6</v>
      </c>
      <c r="H669" s="304">
        <f t="shared" si="320"/>
        <v>0</v>
      </c>
      <c r="I669" s="283">
        <f t="shared" si="320"/>
        <v>0</v>
      </c>
      <c r="J669" s="283">
        <f t="shared" si="320"/>
        <v>0</v>
      </c>
      <c r="K669" s="283">
        <f t="shared" si="320"/>
        <v>0</v>
      </c>
      <c r="L669" s="283">
        <f t="shared" si="320"/>
        <v>-3.5E-4</v>
      </c>
      <c r="M669" s="568">
        <f t="shared" si="320"/>
        <v>0</v>
      </c>
      <c r="N669" s="568">
        <f t="shared" si="320"/>
        <v>0</v>
      </c>
      <c r="O669" s="569">
        <f t="shared" si="320"/>
        <v>0</v>
      </c>
      <c r="P669" s="569">
        <f t="shared" si="320"/>
        <v>0</v>
      </c>
      <c r="Q669" s="569">
        <f t="shared" si="320"/>
        <v>0</v>
      </c>
      <c r="R669" s="569">
        <f t="shared" si="320"/>
        <v>0</v>
      </c>
      <c r="S669" s="132">
        <f t="shared" si="308"/>
        <v>2647.5996500000001</v>
      </c>
    </row>
    <row r="670" spans="1:19" s="80" customFormat="1" ht="31.5" x14ac:dyDescent="0.25">
      <c r="A670" s="264" t="s">
        <v>124</v>
      </c>
      <c r="B670" s="380" t="s">
        <v>76</v>
      </c>
      <c r="C670" s="488" t="s">
        <v>58</v>
      </c>
      <c r="D670" s="380" t="s">
        <v>20</v>
      </c>
      <c r="E670" s="265" t="s">
        <v>989</v>
      </c>
      <c r="F670" s="380" t="s">
        <v>117</v>
      </c>
      <c r="G670" s="301">
        <v>2647.6</v>
      </c>
      <c r="H670" s="304"/>
      <c r="I670" s="283"/>
      <c r="J670" s="282"/>
      <c r="K670" s="283"/>
      <c r="L670" s="283">
        <v>-3.5E-4</v>
      </c>
      <c r="M670" s="568"/>
      <c r="N670" s="568"/>
      <c r="O670" s="132"/>
      <c r="P670" s="132"/>
      <c r="Q670" s="132"/>
      <c r="R670" s="132"/>
      <c r="S670" s="566">
        <f t="shared" si="308"/>
        <v>2647.5996500000001</v>
      </c>
    </row>
    <row r="671" spans="1:19" s="80" customFormat="1" ht="15.6" hidden="1" x14ac:dyDescent="0.3">
      <c r="A671" s="264" t="s">
        <v>813</v>
      </c>
      <c r="B671" s="380" t="s">
        <v>76</v>
      </c>
      <c r="C671" s="488" t="s">
        <v>58</v>
      </c>
      <c r="D671" s="380" t="s">
        <v>20</v>
      </c>
      <c r="E671" s="265" t="s">
        <v>989</v>
      </c>
      <c r="F671" s="380" t="s">
        <v>119</v>
      </c>
      <c r="G671" s="283"/>
      <c r="H671" s="304"/>
      <c r="I671" s="283"/>
      <c r="J671" s="282"/>
      <c r="K671" s="283"/>
      <c r="L671" s="283"/>
      <c r="M671" s="568"/>
      <c r="N671" s="568"/>
      <c r="O671" s="132"/>
      <c r="P671" s="132"/>
      <c r="Q671" s="132"/>
      <c r="R671" s="132"/>
      <c r="S671" s="131">
        <f t="shared" si="308"/>
        <v>0</v>
      </c>
    </row>
    <row r="672" spans="1:19" s="80" customFormat="1" x14ac:dyDescent="0.25">
      <c r="A672" s="267" t="s">
        <v>986</v>
      </c>
      <c r="B672" s="497" t="s">
        <v>76</v>
      </c>
      <c r="C672" s="496" t="s">
        <v>58</v>
      </c>
      <c r="D672" s="497" t="s">
        <v>20</v>
      </c>
      <c r="E672" s="285" t="s">
        <v>990</v>
      </c>
      <c r="F672" s="497" t="s">
        <v>9</v>
      </c>
      <c r="G672" s="283">
        <f t="shared" ref="G672:R672" si="321">G673</f>
        <v>139.5</v>
      </c>
      <c r="H672" s="304">
        <f t="shared" si="321"/>
        <v>0</v>
      </c>
      <c r="I672" s="283">
        <f t="shared" si="321"/>
        <v>0</v>
      </c>
      <c r="J672" s="283">
        <f t="shared" si="321"/>
        <v>0</v>
      </c>
      <c r="K672" s="283">
        <f t="shared" si="321"/>
        <v>0</v>
      </c>
      <c r="L672" s="283">
        <f t="shared" si="321"/>
        <v>-0.15265000000000001</v>
      </c>
      <c r="M672" s="568">
        <f t="shared" si="321"/>
        <v>0</v>
      </c>
      <c r="N672" s="568">
        <f t="shared" si="321"/>
        <v>0</v>
      </c>
      <c r="O672" s="569">
        <f t="shared" si="321"/>
        <v>0</v>
      </c>
      <c r="P672" s="569">
        <f t="shared" si="321"/>
        <v>0</v>
      </c>
      <c r="Q672" s="569">
        <f t="shared" si="321"/>
        <v>0</v>
      </c>
      <c r="R672" s="569">
        <f t="shared" si="321"/>
        <v>0</v>
      </c>
      <c r="S672" s="132">
        <f t="shared" si="308"/>
        <v>139.34735000000001</v>
      </c>
    </row>
    <row r="673" spans="1:19" s="80" customFormat="1" ht="31.5" x14ac:dyDescent="0.25">
      <c r="A673" s="264" t="s">
        <v>124</v>
      </c>
      <c r="B673" s="380" t="s">
        <v>76</v>
      </c>
      <c r="C673" s="488" t="s">
        <v>58</v>
      </c>
      <c r="D673" s="380" t="s">
        <v>20</v>
      </c>
      <c r="E673" s="265" t="s">
        <v>990</v>
      </c>
      <c r="F673" s="380" t="s">
        <v>117</v>
      </c>
      <c r="G673" s="301">
        <v>139.5</v>
      </c>
      <c r="H673" s="304"/>
      <c r="I673" s="283"/>
      <c r="J673" s="282"/>
      <c r="K673" s="283"/>
      <c r="L673" s="283">
        <v>-0.15265000000000001</v>
      </c>
      <c r="M673" s="568"/>
      <c r="N673" s="568"/>
      <c r="O673" s="132"/>
      <c r="P673" s="132"/>
      <c r="Q673" s="132"/>
      <c r="R673" s="132"/>
      <c r="S673" s="566">
        <f t="shared" si="308"/>
        <v>139.34735000000001</v>
      </c>
    </row>
    <row r="674" spans="1:19" s="80" customFormat="1" ht="15.6" hidden="1" x14ac:dyDescent="0.3">
      <c r="A674" s="264" t="s">
        <v>813</v>
      </c>
      <c r="B674" s="380" t="s">
        <v>76</v>
      </c>
      <c r="C674" s="488" t="s">
        <v>58</v>
      </c>
      <c r="D674" s="380" t="s">
        <v>20</v>
      </c>
      <c r="E674" s="265" t="s">
        <v>990</v>
      </c>
      <c r="F674" s="380" t="s">
        <v>119</v>
      </c>
      <c r="G674" s="283"/>
      <c r="H674" s="304"/>
      <c r="I674" s="283"/>
      <c r="J674" s="282"/>
      <c r="K674" s="283"/>
      <c r="L674" s="283"/>
      <c r="M674" s="568"/>
      <c r="N674" s="568"/>
      <c r="O674" s="132"/>
      <c r="P674" s="132"/>
      <c r="Q674" s="132"/>
      <c r="R674" s="132"/>
      <c r="S674" s="131">
        <f t="shared" si="308"/>
        <v>0</v>
      </c>
    </row>
    <row r="675" spans="1:19" s="80" customFormat="1" x14ac:dyDescent="0.25">
      <c r="A675" s="267" t="s">
        <v>651</v>
      </c>
      <c r="B675" s="497" t="s">
        <v>76</v>
      </c>
      <c r="C675" s="496" t="s">
        <v>58</v>
      </c>
      <c r="D675" s="497" t="s">
        <v>58</v>
      </c>
      <c r="E675" s="285" t="s">
        <v>365</v>
      </c>
      <c r="F675" s="497" t="s">
        <v>9</v>
      </c>
      <c r="G675" s="283">
        <f t="shared" ref="G675:R684" si="322">G676</f>
        <v>10500</v>
      </c>
      <c r="H675" s="304">
        <f t="shared" si="322"/>
        <v>0</v>
      </c>
      <c r="I675" s="283">
        <f t="shared" si="322"/>
        <v>0</v>
      </c>
      <c r="J675" s="283">
        <f t="shared" si="322"/>
        <v>0</v>
      </c>
      <c r="K675" s="283">
        <f t="shared" si="322"/>
        <v>-4095</v>
      </c>
      <c r="L675" s="283">
        <f t="shared" si="322"/>
        <v>0</v>
      </c>
      <c r="M675" s="568">
        <f t="shared" si="322"/>
        <v>641.5</v>
      </c>
      <c r="N675" s="568">
        <f t="shared" si="322"/>
        <v>-1.0449999999999999</v>
      </c>
      <c r="O675" s="132">
        <f t="shared" si="322"/>
        <v>0</v>
      </c>
      <c r="P675" s="132">
        <f t="shared" si="322"/>
        <v>0</v>
      </c>
      <c r="Q675" s="132">
        <f t="shared" si="322"/>
        <v>0</v>
      </c>
      <c r="R675" s="132">
        <f t="shared" si="322"/>
        <v>0</v>
      </c>
      <c r="S675" s="132">
        <f t="shared" si="308"/>
        <v>7045.4549999999999</v>
      </c>
    </row>
    <row r="676" spans="1:19" s="80" customFormat="1" ht="31.5" x14ac:dyDescent="0.25">
      <c r="A676" s="267" t="s">
        <v>784</v>
      </c>
      <c r="B676" s="497" t="s">
        <v>76</v>
      </c>
      <c r="C676" s="496" t="s">
        <v>58</v>
      </c>
      <c r="D676" s="497" t="s">
        <v>58</v>
      </c>
      <c r="E676" s="285" t="s">
        <v>380</v>
      </c>
      <c r="F676" s="497" t="s">
        <v>9</v>
      </c>
      <c r="G676" s="283">
        <f>G683+G677</f>
        <v>10500</v>
      </c>
      <c r="H676" s="283">
        <f t="shared" ref="H676:R676" si="323">H683+H677</f>
        <v>0</v>
      </c>
      <c r="I676" s="283">
        <f t="shared" si="323"/>
        <v>0</v>
      </c>
      <c r="J676" s="283">
        <f t="shared" si="323"/>
        <v>0</v>
      </c>
      <c r="K676" s="283">
        <f t="shared" si="323"/>
        <v>-4095</v>
      </c>
      <c r="L676" s="283">
        <f t="shared" si="323"/>
        <v>0</v>
      </c>
      <c r="M676" s="132">
        <f t="shared" si="323"/>
        <v>641.5</v>
      </c>
      <c r="N676" s="568">
        <f t="shared" si="323"/>
        <v>-1.0449999999999999</v>
      </c>
      <c r="O676" s="132">
        <f t="shared" si="323"/>
        <v>0</v>
      </c>
      <c r="P676" s="132">
        <f t="shared" si="323"/>
        <v>0</v>
      </c>
      <c r="Q676" s="132">
        <f t="shared" si="323"/>
        <v>0</v>
      </c>
      <c r="R676" s="132">
        <f t="shared" si="323"/>
        <v>0</v>
      </c>
      <c r="S676" s="132">
        <f t="shared" si="308"/>
        <v>7045.4549999999999</v>
      </c>
    </row>
    <row r="677" spans="1:19" s="80" customFormat="1" ht="31.5" x14ac:dyDescent="0.25">
      <c r="A677" s="267" t="s">
        <v>1096</v>
      </c>
      <c r="B677" s="544" t="s">
        <v>76</v>
      </c>
      <c r="C677" s="496" t="s">
        <v>58</v>
      </c>
      <c r="D677" s="544" t="s">
        <v>58</v>
      </c>
      <c r="E677" s="285" t="s">
        <v>1214</v>
      </c>
      <c r="F677" s="544" t="s">
        <v>9</v>
      </c>
      <c r="G677" s="283">
        <f>G678</f>
        <v>0</v>
      </c>
      <c r="H677" s="283">
        <f t="shared" ref="H677:R677" si="324">H678</f>
        <v>0</v>
      </c>
      <c r="I677" s="283">
        <f t="shared" si="324"/>
        <v>0</v>
      </c>
      <c r="J677" s="283">
        <f t="shared" si="324"/>
        <v>0</v>
      </c>
      <c r="K677" s="283">
        <f t="shared" si="324"/>
        <v>0</v>
      </c>
      <c r="L677" s="283">
        <f t="shared" si="324"/>
        <v>0</v>
      </c>
      <c r="M677" s="132">
        <f t="shared" si="324"/>
        <v>7046.5</v>
      </c>
      <c r="N677" s="568">
        <f t="shared" si="324"/>
        <v>-1.0449999999999999</v>
      </c>
      <c r="O677" s="132">
        <f t="shared" si="324"/>
        <v>0</v>
      </c>
      <c r="P677" s="132">
        <f t="shared" si="324"/>
        <v>0</v>
      </c>
      <c r="Q677" s="132">
        <f t="shared" si="324"/>
        <v>0</v>
      </c>
      <c r="R677" s="132">
        <f t="shared" si="324"/>
        <v>0</v>
      </c>
      <c r="S677" s="132">
        <f t="shared" si="308"/>
        <v>7045.4549999999999</v>
      </c>
    </row>
    <row r="678" spans="1:19" s="80" customFormat="1" x14ac:dyDescent="0.25">
      <c r="A678" s="267" t="s">
        <v>1097</v>
      </c>
      <c r="B678" s="544" t="s">
        <v>76</v>
      </c>
      <c r="C678" s="496" t="s">
        <v>58</v>
      </c>
      <c r="D678" s="544" t="s">
        <v>58</v>
      </c>
      <c r="E678" s="285" t="s">
        <v>1215</v>
      </c>
      <c r="F678" s="544" t="s">
        <v>9</v>
      </c>
      <c r="G678" s="283">
        <f>G679+G681</f>
        <v>0</v>
      </c>
      <c r="H678" s="283">
        <f t="shared" ref="H678:R678" si="325">H679+H681</f>
        <v>0</v>
      </c>
      <c r="I678" s="283">
        <f t="shared" si="325"/>
        <v>0</v>
      </c>
      <c r="J678" s="283">
        <f t="shared" si="325"/>
        <v>0</v>
      </c>
      <c r="K678" s="283">
        <f t="shared" si="325"/>
        <v>0</v>
      </c>
      <c r="L678" s="283">
        <f t="shared" si="325"/>
        <v>0</v>
      </c>
      <c r="M678" s="132">
        <f t="shared" si="325"/>
        <v>7046.5</v>
      </c>
      <c r="N678" s="568">
        <f t="shared" si="325"/>
        <v>-1.0449999999999999</v>
      </c>
      <c r="O678" s="132">
        <f t="shared" si="325"/>
        <v>0</v>
      </c>
      <c r="P678" s="132">
        <f t="shared" si="325"/>
        <v>0</v>
      </c>
      <c r="Q678" s="132">
        <f t="shared" si="325"/>
        <v>0</v>
      </c>
      <c r="R678" s="132">
        <f t="shared" si="325"/>
        <v>0</v>
      </c>
      <c r="S678" s="132">
        <f t="shared" si="308"/>
        <v>7045.4549999999999</v>
      </c>
    </row>
    <row r="679" spans="1:19" s="80" customFormat="1" ht="31.5" x14ac:dyDescent="0.25">
      <c r="A679" s="267" t="s">
        <v>1098</v>
      </c>
      <c r="B679" s="544" t="s">
        <v>76</v>
      </c>
      <c r="C679" s="496" t="s">
        <v>58</v>
      </c>
      <c r="D679" s="544" t="s">
        <v>58</v>
      </c>
      <c r="E679" s="285" t="s">
        <v>1216</v>
      </c>
      <c r="F679" s="544" t="s">
        <v>9</v>
      </c>
      <c r="G679" s="283">
        <f>G680</f>
        <v>0</v>
      </c>
      <c r="H679" s="283">
        <f t="shared" ref="H679:R679" si="326">H680</f>
        <v>0</v>
      </c>
      <c r="I679" s="283">
        <f t="shared" si="326"/>
        <v>0</v>
      </c>
      <c r="J679" s="283">
        <f t="shared" si="326"/>
        <v>0</v>
      </c>
      <c r="K679" s="283">
        <f t="shared" si="326"/>
        <v>0</v>
      </c>
      <c r="L679" s="283">
        <f t="shared" si="326"/>
        <v>0</v>
      </c>
      <c r="M679" s="132">
        <f t="shared" si="326"/>
        <v>6975</v>
      </c>
      <c r="N679" s="568">
        <f t="shared" si="326"/>
        <v>0</v>
      </c>
      <c r="O679" s="132">
        <f t="shared" si="326"/>
        <v>0</v>
      </c>
      <c r="P679" s="132">
        <f t="shared" si="326"/>
        <v>0</v>
      </c>
      <c r="Q679" s="132">
        <f t="shared" si="326"/>
        <v>0</v>
      </c>
      <c r="R679" s="132">
        <f t="shared" si="326"/>
        <v>0</v>
      </c>
      <c r="S679" s="132">
        <f t="shared" si="308"/>
        <v>6975</v>
      </c>
    </row>
    <row r="680" spans="1:19" s="80" customFormat="1" ht="31.5" x14ac:dyDescent="0.25">
      <c r="A680" s="264" t="s">
        <v>469</v>
      </c>
      <c r="B680" s="380" t="s">
        <v>76</v>
      </c>
      <c r="C680" s="488" t="s">
        <v>58</v>
      </c>
      <c r="D680" s="380" t="s">
        <v>58</v>
      </c>
      <c r="E680" s="265" t="s">
        <v>1216</v>
      </c>
      <c r="F680" s="380" t="s">
        <v>213</v>
      </c>
      <c r="G680" s="283"/>
      <c r="H680" s="283"/>
      <c r="I680" s="283"/>
      <c r="J680" s="283"/>
      <c r="K680" s="283"/>
      <c r="L680" s="283"/>
      <c r="M680" s="396">
        <f>6340+635</f>
        <v>6975</v>
      </c>
      <c r="N680" s="568"/>
      <c r="O680" s="132"/>
      <c r="P680" s="132"/>
      <c r="Q680" s="132"/>
      <c r="R680" s="132"/>
      <c r="S680" s="566">
        <f t="shared" si="308"/>
        <v>6975</v>
      </c>
    </row>
    <row r="681" spans="1:19" s="80" customFormat="1" ht="31.5" x14ac:dyDescent="0.25">
      <c r="A681" s="267" t="s">
        <v>1098</v>
      </c>
      <c r="B681" s="544" t="s">
        <v>76</v>
      </c>
      <c r="C681" s="496" t="s">
        <v>58</v>
      </c>
      <c r="D681" s="544" t="s">
        <v>58</v>
      </c>
      <c r="E681" s="285" t="s">
        <v>1217</v>
      </c>
      <c r="F681" s="544" t="s">
        <v>9</v>
      </c>
      <c r="G681" s="283">
        <f>G682</f>
        <v>0</v>
      </c>
      <c r="H681" s="283">
        <f t="shared" ref="H681:R681" si="327">H682</f>
        <v>0</v>
      </c>
      <c r="I681" s="283">
        <f t="shared" si="327"/>
        <v>0</v>
      </c>
      <c r="J681" s="283">
        <f t="shared" si="327"/>
        <v>0</v>
      </c>
      <c r="K681" s="283">
        <f t="shared" si="327"/>
        <v>0</v>
      </c>
      <c r="L681" s="283">
        <f t="shared" si="327"/>
        <v>0</v>
      </c>
      <c r="M681" s="132">
        <f t="shared" si="327"/>
        <v>71.5</v>
      </c>
      <c r="N681" s="568">
        <f t="shared" si="327"/>
        <v>-1.0449999999999999</v>
      </c>
      <c r="O681" s="132">
        <f t="shared" si="327"/>
        <v>0</v>
      </c>
      <c r="P681" s="132">
        <f t="shared" si="327"/>
        <v>0</v>
      </c>
      <c r="Q681" s="132">
        <f t="shared" si="327"/>
        <v>0</v>
      </c>
      <c r="R681" s="132">
        <f t="shared" si="327"/>
        <v>0</v>
      </c>
      <c r="S681" s="132">
        <f t="shared" si="308"/>
        <v>70.454999999999998</v>
      </c>
    </row>
    <row r="682" spans="1:19" s="80" customFormat="1" ht="31.5" x14ac:dyDescent="0.25">
      <c r="A682" s="264" t="s">
        <v>469</v>
      </c>
      <c r="B682" s="380" t="s">
        <v>76</v>
      </c>
      <c r="C682" s="488" t="s">
        <v>58</v>
      </c>
      <c r="D682" s="380" t="s">
        <v>58</v>
      </c>
      <c r="E682" s="265" t="s">
        <v>1217</v>
      </c>
      <c r="F682" s="380" t="s">
        <v>213</v>
      </c>
      <c r="G682" s="283"/>
      <c r="H682" s="304"/>
      <c r="I682" s="283"/>
      <c r="J682" s="283"/>
      <c r="K682" s="283"/>
      <c r="L682" s="283"/>
      <c r="M682" s="396">
        <f>65+6.5</f>
        <v>71.5</v>
      </c>
      <c r="N682" s="566">
        <v>-1.0449999999999999</v>
      </c>
      <c r="O682" s="132"/>
      <c r="P682" s="132"/>
      <c r="Q682" s="132"/>
      <c r="R682" s="132"/>
      <c r="S682" s="566">
        <f t="shared" si="308"/>
        <v>70.454999999999998</v>
      </c>
    </row>
    <row r="683" spans="1:19" s="80" customFormat="1" ht="31.15" hidden="1" x14ac:dyDescent="0.3">
      <c r="A683" s="267" t="s">
        <v>52</v>
      </c>
      <c r="B683" s="497" t="s">
        <v>76</v>
      </c>
      <c r="C683" s="496" t="s">
        <v>58</v>
      </c>
      <c r="D683" s="497" t="s">
        <v>58</v>
      </c>
      <c r="E683" s="285" t="s">
        <v>394</v>
      </c>
      <c r="F683" s="497" t="s">
        <v>9</v>
      </c>
      <c r="G683" s="283">
        <f t="shared" si="322"/>
        <v>10500</v>
      </c>
      <c r="H683" s="304">
        <f t="shared" si="322"/>
        <v>0</v>
      </c>
      <c r="I683" s="283">
        <f t="shared" si="322"/>
        <v>0</v>
      </c>
      <c r="J683" s="283">
        <f t="shared" si="322"/>
        <v>0</v>
      </c>
      <c r="K683" s="283">
        <f t="shared" si="322"/>
        <v>-4095</v>
      </c>
      <c r="L683" s="283">
        <f t="shared" si="322"/>
        <v>0</v>
      </c>
      <c r="M683" s="568">
        <f t="shared" si="322"/>
        <v>-6405</v>
      </c>
      <c r="N683" s="568">
        <f t="shared" si="322"/>
        <v>0</v>
      </c>
      <c r="O683" s="132">
        <f t="shared" si="322"/>
        <v>0</v>
      </c>
      <c r="P683" s="132">
        <f t="shared" si="322"/>
        <v>0</v>
      </c>
      <c r="Q683" s="132">
        <f t="shared" si="322"/>
        <v>0</v>
      </c>
      <c r="R683" s="132">
        <f t="shared" si="322"/>
        <v>0</v>
      </c>
      <c r="S683" s="132">
        <f t="shared" si="308"/>
        <v>0</v>
      </c>
    </row>
    <row r="684" spans="1:19" s="80" customFormat="1" ht="31.15" hidden="1" x14ac:dyDescent="0.3">
      <c r="A684" s="267" t="s">
        <v>1096</v>
      </c>
      <c r="B684" s="497" t="s">
        <v>76</v>
      </c>
      <c r="C684" s="496" t="s">
        <v>58</v>
      </c>
      <c r="D684" s="497" t="s">
        <v>58</v>
      </c>
      <c r="E684" s="285" t="s">
        <v>1095</v>
      </c>
      <c r="F684" s="497" t="s">
        <v>9</v>
      </c>
      <c r="G684" s="283">
        <f t="shared" si="322"/>
        <v>10500</v>
      </c>
      <c r="H684" s="304">
        <f t="shared" si="322"/>
        <v>0</v>
      </c>
      <c r="I684" s="283">
        <f t="shared" si="322"/>
        <v>0</v>
      </c>
      <c r="J684" s="283">
        <f t="shared" si="322"/>
        <v>0</v>
      </c>
      <c r="K684" s="283">
        <f t="shared" si="322"/>
        <v>-4095</v>
      </c>
      <c r="L684" s="283">
        <f t="shared" si="322"/>
        <v>0</v>
      </c>
      <c r="M684" s="568">
        <f t="shared" si="322"/>
        <v>-6405</v>
      </c>
      <c r="N684" s="568">
        <f t="shared" si="322"/>
        <v>0</v>
      </c>
      <c r="O684" s="132">
        <f t="shared" si="322"/>
        <v>0</v>
      </c>
      <c r="P684" s="132">
        <f t="shared" si="322"/>
        <v>0</v>
      </c>
      <c r="Q684" s="132">
        <f t="shared" si="322"/>
        <v>0</v>
      </c>
      <c r="R684" s="132">
        <f t="shared" si="322"/>
        <v>0</v>
      </c>
      <c r="S684" s="132">
        <f t="shared" si="308"/>
        <v>0</v>
      </c>
    </row>
    <row r="685" spans="1:19" s="80" customFormat="1" ht="15.6" hidden="1" x14ac:dyDescent="0.3">
      <c r="A685" s="267" t="s">
        <v>1097</v>
      </c>
      <c r="B685" s="497" t="s">
        <v>76</v>
      </c>
      <c r="C685" s="496" t="s">
        <v>58</v>
      </c>
      <c r="D685" s="497" t="s">
        <v>58</v>
      </c>
      <c r="E685" s="285" t="s">
        <v>1094</v>
      </c>
      <c r="F685" s="497" t="s">
        <v>9</v>
      </c>
      <c r="G685" s="283">
        <f t="shared" ref="G685:R685" si="328">G686+G688</f>
        <v>10500</v>
      </c>
      <c r="H685" s="304">
        <f t="shared" si="328"/>
        <v>0</v>
      </c>
      <c r="I685" s="283">
        <f t="shared" si="328"/>
        <v>0</v>
      </c>
      <c r="J685" s="283">
        <f t="shared" si="328"/>
        <v>0</v>
      </c>
      <c r="K685" s="283">
        <f t="shared" si="328"/>
        <v>-4095</v>
      </c>
      <c r="L685" s="283">
        <f t="shared" si="328"/>
        <v>0</v>
      </c>
      <c r="M685" s="568">
        <f t="shared" si="328"/>
        <v>-6405</v>
      </c>
      <c r="N685" s="568">
        <f t="shared" si="328"/>
        <v>0</v>
      </c>
      <c r="O685" s="132">
        <f t="shared" si="328"/>
        <v>0</v>
      </c>
      <c r="P685" s="132">
        <f t="shared" si="328"/>
        <v>0</v>
      </c>
      <c r="Q685" s="132">
        <f t="shared" si="328"/>
        <v>0</v>
      </c>
      <c r="R685" s="132">
        <f t="shared" si="328"/>
        <v>0</v>
      </c>
      <c r="S685" s="132">
        <f t="shared" si="308"/>
        <v>0</v>
      </c>
    </row>
    <row r="686" spans="1:19" s="80" customFormat="1" ht="31.15" hidden="1" x14ac:dyDescent="0.3">
      <c r="A686" s="267" t="s">
        <v>1098</v>
      </c>
      <c r="B686" s="497" t="s">
        <v>76</v>
      </c>
      <c r="C686" s="496" t="s">
        <v>58</v>
      </c>
      <c r="D686" s="497" t="s">
        <v>58</v>
      </c>
      <c r="E686" s="285" t="s">
        <v>1093</v>
      </c>
      <c r="F686" s="497" t="s">
        <v>9</v>
      </c>
      <c r="G686" s="283">
        <f t="shared" ref="G686:R686" si="329">G687</f>
        <v>10395</v>
      </c>
      <c r="H686" s="304">
        <f t="shared" si="329"/>
        <v>0</v>
      </c>
      <c r="I686" s="283">
        <f t="shared" si="329"/>
        <v>0</v>
      </c>
      <c r="J686" s="283">
        <f t="shared" si="329"/>
        <v>0</v>
      </c>
      <c r="K686" s="283">
        <f t="shared" si="329"/>
        <v>-4055</v>
      </c>
      <c r="L686" s="283">
        <f t="shared" si="329"/>
        <v>0</v>
      </c>
      <c r="M686" s="568">
        <f t="shared" si="329"/>
        <v>-6340</v>
      </c>
      <c r="N686" s="568">
        <f t="shared" si="329"/>
        <v>0</v>
      </c>
      <c r="O686" s="132">
        <f t="shared" si="329"/>
        <v>0</v>
      </c>
      <c r="P686" s="132">
        <f t="shared" si="329"/>
        <v>0</v>
      </c>
      <c r="Q686" s="132">
        <f t="shared" si="329"/>
        <v>0</v>
      </c>
      <c r="R686" s="132">
        <f t="shared" si="329"/>
        <v>0</v>
      </c>
      <c r="S686" s="132">
        <f t="shared" si="308"/>
        <v>0</v>
      </c>
    </row>
    <row r="687" spans="1:19" s="80" customFormat="1" ht="31.15" hidden="1" x14ac:dyDescent="0.3">
      <c r="A687" s="264" t="s">
        <v>469</v>
      </c>
      <c r="B687" s="380" t="s">
        <v>76</v>
      </c>
      <c r="C687" s="488" t="s">
        <v>58</v>
      </c>
      <c r="D687" s="380" t="s">
        <v>58</v>
      </c>
      <c r="E687" s="265" t="s">
        <v>1093</v>
      </c>
      <c r="F687" s="380" t="s">
        <v>213</v>
      </c>
      <c r="G687" s="300">
        <v>10395</v>
      </c>
      <c r="H687" s="304"/>
      <c r="I687" s="283"/>
      <c r="J687" s="283"/>
      <c r="K687" s="303">
        <v>-4055</v>
      </c>
      <c r="L687" s="283"/>
      <c r="M687" s="396">
        <v>-6340</v>
      </c>
      <c r="N687" s="568"/>
      <c r="O687" s="132"/>
      <c r="P687" s="132"/>
      <c r="Q687" s="132"/>
      <c r="R687" s="132"/>
      <c r="S687" s="566">
        <f t="shared" si="308"/>
        <v>0</v>
      </c>
    </row>
    <row r="688" spans="1:19" s="80" customFormat="1" ht="31.15" hidden="1" x14ac:dyDescent="0.3">
      <c r="A688" s="267" t="s">
        <v>1098</v>
      </c>
      <c r="B688" s="497" t="s">
        <v>76</v>
      </c>
      <c r="C688" s="496" t="s">
        <v>58</v>
      </c>
      <c r="D688" s="497" t="s">
        <v>58</v>
      </c>
      <c r="E688" s="285" t="s">
        <v>1092</v>
      </c>
      <c r="F688" s="497" t="s">
        <v>9</v>
      </c>
      <c r="G688" s="283">
        <f t="shared" ref="G688:R688" si="330">G689</f>
        <v>105</v>
      </c>
      <c r="H688" s="304">
        <f t="shared" si="330"/>
        <v>0</v>
      </c>
      <c r="I688" s="283">
        <f t="shared" si="330"/>
        <v>0</v>
      </c>
      <c r="J688" s="283">
        <f t="shared" si="330"/>
        <v>0</v>
      </c>
      <c r="K688" s="283">
        <f t="shared" si="330"/>
        <v>-40</v>
      </c>
      <c r="L688" s="283">
        <f t="shared" si="330"/>
        <v>0</v>
      </c>
      <c r="M688" s="568">
        <f t="shared" si="330"/>
        <v>-65</v>
      </c>
      <c r="N688" s="568">
        <f t="shared" si="330"/>
        <v>0</v>
      </c>
      <c r="O688" s="132">
        <f t="shared" si="330"/>
        <v>0</v>
      </c>
      <c r="P688" s="132">
        <f t="shared" si="330"/>
        <v>0</v>
      </c>
      <c r="Q688" s="132">
        <f t="shared" si="330"/>
        <v>0</v>
      </c>
      <c r="R688" s="132">
        <f t="shared" si="330"/>
        <v>0</v>
      </c>
      <c r="S688" s="132">
        <f t="shared" si="308"/>
        <v>0</v>
      </c>
    </row>
    <row r="689" spans="1:19" s="80" customFormat="1" ht="31.15" hidden="1" x14ac:dyDescent="0.3">
      <c r="A689" s="264" t="s">
        <v>469</v>
      </c>
      <c r="B689" s="380" t="s">
        <v>76</v>
      </c>
      <c r="C689" s="488" t="s">
        <v>58</v>
      </c>
      <c r="D689" s="380" t="s">
        <v>58</v>
      </c>
      <c r="E689" s="265" t="s">
        <v>1092</v>
      </c>
      <c r="F689" s="380" t="s">
        <v>213</v>
      </c>
      <c r="G689" s="300">
        <v>105</v>
      </c>
      <c r="H689" s="304"/>
      <c r="I689" s="283"/>
      <c r="J689" s="283"/>
      <c r="K689" s="303">
        <v>-40</v>
      </c>
      <c r="L689" s="283"/>
      <c r="M689" s="396">
        <v>-65</v>
      </c>
      <c r="N689" s="566"/>
      <c r="O689" s="132"/>
      <c r="P689" s="132"/>
      <c r="Q689" s="132"/>
      <c r="R689" s="132"/>
      <c r="S689" s="566">
        <f t="shared" si="308"/>
        <v>0</v>
      </c>
    </row>
    <row r="690" spans="1:19" s="77" customFormat="1" x14ac:dyDescent="0.25">
      <c r="A690" s="264" t="s">
        <v>89</v>
      </c>
      <c r="B690" s="380" t="s">
        <v>76</v>
      </c>
      <c r="C690" s="488" t="s">
        <v>90</v>
      </c>
      <c r="D690" s="380" t="s">
        <v>10</v>
      </c>
      <c r="E690" s="265" t="s">
        <v>365</v>
      </c>
      <c r="F690" s="380" t="s">
        <v>9</v>
      </c>
      <c r="G690" s="282">
        <f t="shared" ref="G690:R690" si="331">G691+G697+G702</f>
        <v>500</v>
      </c>
      <c r="H690" s="303">
        <f t="shared" si="331"/>
        <v>500</v>
      </c>
      <c r="I690" s="282">
        <f t="shared" si="331"/>
        <v>0</v>
      </c>
      <c r="J690" s="282">
        <f t="shared" si="331"/>
        <v>0</v>
      </c>
      <c r="K690" s="282">
        <f t="shared" si="331"/>
        <v>0</v>
      </c>
      <c r="L690" s="282">
        <f t="shared" si="331"/>
        <v>0</v>
      </c>
      <c r="M690" s="566">
        <f t="shared" si="331"/>
        <v>0</v>
      </c>
      <c r="N690" s="566">
        <f t="shared" si="331"/>
        <v>0</v>
      </c>
      <c r="O690" s="567">
        <f t="shared" si="331"/>
        <v>0</v>
      </c>
      <c r="P690" s="567">
        <f t="shared" si="331"/>
        <v>0</v>
      </c>
      <c r="Q690" s="567">
        <f t="shared" si="331"/>
        <v>0</v>
      </c>
      <c r="R690" s="567">
        <f t="shared" si="331"/>
        <v>0</v>
      </c>
      <c r="S690" s="131">
        <f t="shared" si="308"/>
        <v>1000</v>
      </c>
    </row>
    <row r="691" spans="1:19" s="77" customFormat="1" ht="15.6" hidden="1" x14ac:dyDescent="0.3">
      <c r="A691" s="267" t="s">
        <v>91</v>
      </c>
      <c r="B691" s="497" t="s">
        <v>76</v>
      </c>
      <c r="C691" s="496" t="s">
        <v>90</v>
      </c>
      <c r="D691" s="497" t="s">
        <v>36</v>
      </c>
      <c r="E691" s="285" t="s">
        <v>365</v>
      </c>
      <c r="F691" s="497" t="s">
        <v>9</v>
      </c>
      <c r="G691" s="283">
        <f t="shared" ref="G691:R693" si="332">G692</f>
        <v>0</v>
      </c>
      <c r="H691" s="304">
        <f t="shared" si="332"/>
        <v>0</v>
      </c>
      <c r="I691" s="283">
        <f t="shared" si="332"/>
        <v>0</v>
      </c>
      <c r="J691" s="283">
        <f t="shared" si="332"/>
        <v>0</v>
      </c>
      <c r="K691" s="283">
        <f t="shared" si="332"/>
        <v>0</v>
      </c>
      <c r="L691" s="283">
        <f t="shared" si="332"/>
        <v>0</v>
      </c>
      <c r="M691" s="568">
        <f t="shared" si="332"/>
        <v>0</v>
      </c>
      <c r="N691" s="568">
        <f t="shared" si="332"/>
        <v>0</v>
      </c>
      <c r="O691" s="569">
        <f t="shared" si="332"/>
        <v>0</v>
      </c>
      <c r="P691" s="569">
        <f t="shared" si="332"/>
        <v>0</v>
      </c>
      <c r="Q691" s="569">
        <f t="shared" si="332"/>
        <v>0</v>
      </c>
      <c r="R691" s="569">
        <f t="shared" si="332"/>
        <v>0</v>
      </c>
      <c r="S691" s="132">
        <f t="shared" si="308"/>
        <v>0</v>
      </c>
    </row>
    <row r="692" spans="1:19" s="77" customFormat="1" ht="31.15" hidden="1" x14ac:dyDescent="0.3">
      <c r="A692" s="267" t="s">
        <v>784</v>
      </c>
      <c r="B692" s="497" t="s">
        <v>76</v>
      </c>
      <c r="C692" s="496" t="s">
        <v>90</v>
      </c>
      <c r="D692" s="497" t="s">
        <v>36</v>
      </c>
      <c r="E692" s="285" t="s">
        <v>380</v>
      </c>
      <c r="F692" s="497" t="s">
        <v>9</v>
      </c>
      <c r="G692" s="283">
        <f t="shared" si="332"/>
        <v>0</v>
      </c>
      <c r="H692" s="304">
        <f t="shared" si="332"/>
        <v>0</v>
      </c>
      <c r="I692" s="283">
        <f t="shared" si="332"/>
        <v>0</v>
      </c>
      <c r="J692" s="283">
        <f t="shared" si="332"/>
        <v>0</v>
      </c>
      <c r="K692" s="283">
        <f t="shared" si="332"/>
        <v>0</v>
      </c>
      <c r="L692" s="283">
        <f t="shared" si="332"/>
        <v>0</v>
      </c>
      <c r="M692" s="568">
        <f t="shared" si="332"/>
        <v>0</v>
      </c>
      <c r="N692" s="568">
        <f t="shared" si="332"/>
        <v>0</v>
      </c>
      <c r="O692" s="569">
        <f t="shared" si="332"/>
        <v>0</v>
      </c>
      <c r="P692" s="569">
        <f t="shared" si="332"/>
        <v>0</v>
      </c>
      <c r="Q692" s="569">
        <f t="shared" si="332"/>
        <v>0</v>
      </c>
      <c r="R692" s="569">
        <f t="shared" si="332"/>
        <v>0</v>
      </c>
      <c r="S692" s="132">
        <f t="shared" si="308"/>
        <v>0</v>
      </c>
    </row>
    <row r="693" spans="1:19" s="77" customFormat="1" ht="31.15" hidden="1" x14ac:dyDescent="0.3">
      <c r="A693" s="267" t="s">
        <v>52</v>
      </c>
      <c r="B693" s="497" t="s">
        <v>76</v>
      </c>
      <c r="C693" s="496" t="s">
        <v>90</v>
      </c>
      <c r="D693" s="497" t="s">
        <v>36</v>
      </c>
      <c r="E693" s="285" t="s">
        <v>394</v>
      </c>
      <c r="F693" s="497" t="s">
        <v>9</v>
      </c>
      <c r="G693" s="283">
        <f t="shared" si="332"/>
        <v>0</v>
      </c>
      <c r="H693" s="304">
        <f t="shared" si="332"/>
        <v>0</v>
      </c>
      <c r="I693" s="283">
        <f t="shared" si="332"/>
        <v>0</v>
      </c>
      <c r="J693" s="283">
        <f t="shared" si="332"/>
        <v>0</v>
      </c>
      <c r="K693" s="283">
        <f t="shared" si="332"/>
        <v>0</v>
      </c>
      <c r="L693" s="283">
        <f t="shared" si="332"/>
        <v>0</v>
      </c>
      <c r="M693" s="568">
        <f t="shared" si="332"/>
        <v>0</v>
      </c>
      <c r="N693" s="568">
        <f t="shared" si="332"/>
        <v>0</v>
      </c>
      <c r="O693" s="569">
        <f t="shared" si="332"/>
        <v>0</v>
      </c>
      <c r="P693" s="569">
        <f t="shared" si="332"/>
        <v>0</v>
      </c>
      <c r="Q693" s="569">
        <f t="shared" si="332"/>
        <v>0</v>
      </c>
      <c r="R693" s="569">
        <f t="shared" si="332"/>
        <v>0</v>
      </c>
      <c r="S693" s="132">
        <f t="shared" si="308"/>
        <v>0</v>
      </c>
    </row>
    <row r="694" spans="1:19" s="77" customFormat="1" ht="31.15" hidden="1" x14ac:dyDescent="0.3">
      <c r="A694" s="267" t="s">
        <v>92</v>
      </c>
      <c r="B694" s="497" t="s">
        <v>76</v>
      </c>
      <c r="C694" s="496" t="s">
        <v>90</v>
      </c>
      <c r="D694" s="497" t="s">
        <v>36</v>
      </c>
      <c r="E694" s="285" t="s">
        <v>444</v>
      </c>
      <c r="F694" s="497" t="s">
        <v>9</v>
      </c>
      <c r="G694" s="283">
        <f t="shared" ref="G694:R694" si="333">G696+G695</f>
        <v>0</v>
      </c>
      <c r="H694" s="304">
        <f t="shared" si="333"/>
        <v>0</v>
      </c>
      <c r="I694" s="283">
        <f t="shared" si="333"/>
        <v>0</v>
      </c>
      <c r="J694" s="283">
        <f t="shared" si="333"/>
        <v>0</v>
      </c>
      <c r="K694" s="283">
        <f t="shared" si="333"/>
        <v>0</v>
      </c>
      <c r="L694" s="283">
        <f t="shared" si="333"/>
        <v>0</v>
      </c>
      <c r="M694" s="568">
        <f t="shared" si="333"/>
        <v>0</v>
      </c>
      <c r="N694" s="568">
        <f t="shared" si="333"/>
        <v>0</v>
      </c>
      <c r="O694" s="569">
        <f t="shared" si="333"/>
        <v>0</v>
      </c>
      <c r="P694" s="569">
        <f t="shared" si="333"/>
        <v>0</v>
      </c>
      <c r="Q694" s="569">
        <f t="shared" si="333"/>
        <v>0</v>
      </c>
      <c r="R694" s="569">
        <f t="shared" si="333"/>
        <v>0</v>
      </c>
      <c r="S694" s="132">
        <f t="shared" si="308"/>
        <v>0</v>
      </c>
    </row>
    <row r="695" spans="1:19" s="77" customFormat="1" ht="31.15" hidden="1" x14ac:dyDescent="0.3">
      <c r="A695" s="264" t="s">
        <v>124</v>
      </c>
      <c r="B695" s="380" t="s">
        <v>76</v>
      </c>
      <c r="C695" s="488" t="s">
        <v>90</v>
      </c>
      <c r="D695" s="380" t="s">
        <v>36</v>
      </c>
      <c r="E695" s="265" t="s">
        <v>444</v>
      </c>
      <c r="F695" s="380" t="s">
        <v>117</v>
      </c>
      <c r="G695" s="282"/>
      <c r="H695" s="303"/>
      <c r="I695" s="265"/>
      <c r="J695" s="265"/>
      <c r="K695" s="265"/>
      <c r="L695" s="265"/>
      <c r="M695" s="570"/>
      <c r="N695" s="570"/>
      <c r="O695" s="571"/>
      <c r="P695" s="571"/>
      <c r="Q695" s="571"/>
      <c r="R695" s="571"/>
      <c r="S695" s="131">
        <f t="shared" si="308"/>
        <v>0</v>
      </c>
    </row>
    <row r="696" spans="1:19" s="77" customFormat="1" ht="15.6" hidden="1" x14ac:dyDescent="0.3">
      <c r="A696" s="264" t="s">
        <v>813</v>
      </c>
      <c r="B696" s="380" t="s">
        <v>76</v>
      </c>
      <c r="C696" s="488" t="s">
        <v>90</v>
      </c>
      <c r="D696" s="380" t="s">
        <v>36</v>
      </c>
      <c r="E696" s="265" t="s">
        <v>444</v>
      </c>
      <c r="F696" s="380" t="s">
        <v>119</v>
      </c>
      <c r="G696" s="282"/>
      <c r="H696" s="303"/>
      <c r="I696" s="265"/>
      <c r="J696" s="265"/>
      <c r="K696" s="265"/>
      <c r="L696" s="265"/>
      <c r="M696" s="570"/>
      <c r="N696" s="570"/>
      <c r="O696" s="571"/>
      <c r="P696" s="571"/>
      <c r="Q696" s="571"/>
      <c r="R696" s="571"/>
      <c r="S696" s="131">
        <f t="shared" si="308"/>
        <v>0</v>
      </c>
    </row>
    <row r="697" spans="1:19" s="77" customFormat="1" ht="15.6" hidden="1" x14ac:dyDescent="0.3">
      <c r="A697" s="267" t="s">
        <v>93</v>
      </c>
      <c r="B697" s="497" t="s">
        <v>76</v>
      </c>
      <c r="C697" s="496" t="s">
        <v>90</v>
      </c>
      <c r="D697" s="497" t="s">
        <v>20</v>
      </c>
      <c r="E697" s="285" t="s">
        <v>365</v>
      </c>
      <c r="F697" s="497" t="s">
        <v>9</v>
      </c>
      <c r="G697" s="283">
        <f t="shared" ref="G697:R700" si="334">G698</f>
        <v>0</v>
      </c>
      <c r="H697" s="304">
        <f t="shared" si="334"/>
        <v>0</v>
      </c>
      <c r="I697" s="283">
        <f t="shared" si="334"/>
        <v>0</v>
      </c>
      <c r="J697" s="283">
        <f t="shared" si="334"/>
        <v>0</v>
      </c>
      <c r="K697" s="283">
        <f t="shared" si="334"/>
        <v>0</v>
      </c>
      <c r="L697" s="283">
        <f t="shared" si="334"/>
        <v>0</v>
      </c>
      <c r="M697" s="568">
        <f t="shared" si="334"/>
        <v>0</v>
      </c>
      <c r="N697" s="568">
        <f t="shared" si="334"/>
        <v>0</v>
      </c>
      <c r="O697" s="569">
        <f t="shared" si="334"/>
        <v>0</v>
      </c>
      <c r="P697" s="569">
        <f t="shared" si="334"/>
        <v>0</v>
      </c>
      <c r="Q697" s="569">
        <f t="shared" si="334"/>
        <v>0</v>
      </c>
      <c r="R697" s="569">
        <f t="shared" si="334"/>
        <v>0</v>
      </c>
      <c r="S697" s="132">
        <f t="shared" si="308"/>
        <v>0</v>
      </c>
    </row>
    <row r="698" spans="1:19" s="77" customFormat="1" ht="31.15" hidden="1" x14ac:dyDescent="0.3">
      <c r="A698" s="267" t="s">
        <v>784</v>
      </c>
      <c r="B698" s="497" t="s">
        <v>76</v>
      </c>
      <c r="C698" s="496" t="s">
        <v>90</v>
      </c>
      <c r="D698" s="497" t="s">
        <v>20</v>
      </c>
      <c r="E698" s="285" t="s">
        <v>380</v>
      </c>
      <c r="F698" s="497" t="s">
        <v>9</v>
      </c>
      <c r="G698" s="283">
        <f t="shared" si="334"/>
        <v>0</v>
      </c>
      <c r="H698" s="304">
        <f t="shared" si="334"/>
        <v>0</v>
      </c>
      <c r="I698" s="283">
        <f t="shared" si="334"/>
        <v>0</v>
      </c>
      <c r="J698" s="283">
        <f t="shared" si="334"/>
        <v>0</v>
      </c>
      <c r="K698" s="283">
        <f t="shared" si="334"/>
        <v>0</v>
      </c>
      <c r="L698" s="283">
        <f t="shared" si="334"/>
        <v>0</v>
      </c>
      <c r="M698" s="568">
        <f t="shared" si="334"/>
        <v>0</v>
      </c>
      <c r="N698" s="568">
        <f t="shared" si="334"/>
        <v>0</v>
      </c>
      <c r="O698" s="569">
        <f t="shared" si="334"/>
        <v>0</v>
      </c>
      <c r="P698" s="569">
        <f t="shared" si="334"/>
        <v>0</v>
      </c>
      <c r="Q698" s="569">
        <f t="shared" si="334"/>
        <v>0</v>
      </c>
      <c r="R698" s="569">
        <f t="shared" si="334"/>
        <v>0</v>
      </c>
      <c r="S698" s="132">
        <f t="shared" si="308"/>
        <v>0</v>
      </c>
    </row>
    <row r="699" spans="1:19" s="80" customFormat="1" ht="31.15" hidden="1" x14ac:dyDescent="0.3">
      <c r="A699" s="267" t="s">
        <v>52</v>
      </c>
      <c r="B699" s="497" t="s">
        <v>76</v>
      </c>
      <c r="C699" s="496" t="s">
        <v>90</v>
      </c>
      <c r="D699" s="497" t="s">
        <v>20</v>
      </c>
      <c r="E699" s="285" t="s">
        <v>394</v>
      </c>
      <c r="F699" s="497" t="s">
        <v>9</v>
      </c>
      <c r="G699" s="283">
        <f t="shared" si="334"/>
        <v>0</v>
      </c>
      <c r="H699" s="304">
        <f t="shared" si="334"/>
        <v>0</v>
      </c>
      <c r="I699" s="283">
        <f t="shared" si="334"/>
        <v>0</v>
      </c>
      <c r="J699" s="283">
        <f t="shared" si="334"/>
        <v>0</v>
      </c>
      <c r="K699" s="283">
        <f t="shared" si="334"/>
        <v>0</v>
      </c>
      <c r="L699" s="283">
        <f t="shared" si="334"/>
        <v>0</v>
      </c>
      <c r="M699" s="568">
        <f t="shared" si="334"/>
        <v>0</v>
      </c>
      <c r="N699" s="568">
        <f t="shared" si="334"/>
        <v>0</v>
      </c>
      <c r="O699" s="569">
        <f t="shared" si="334"/>
        <v>0</v>
      </c>
      <c r="P699" s="569">
        <f t="shared" si="334"/>
        <v>0</v>
      </c>
      <c r="Q699" s="569">
        <f t="shared" si="334"/>
        <v>0</v>
      </c>
      <c r="R699" s="569">
        <f t="shared" si="334"/>
        <v>0</v>
      </c>
      <c r="S699" s="132">
        <f t="shared" si="308"/>
        <v>0</v>
      </c>
    </row>
    <row r="700" spans="1:19" s="80" customFormat="1" ht="31.15" hidden="1" x14ac:dyDescent="0.3">
      <c r="A700" s="267" t="s">
        <v>92</v>
      </c>
      <c r="B700" s="497" t="s">
        <v>76</v>
      </c>
      <c r="C700" s="496" t="s">
        <v>90</v>
      </c>
      <c r="D700" s="497" t="s">
        <v>20</v>
      </c>
      <c r="E700" s="285" t="s">
        <v>444</v>
      </c>
      <c r="F700" s="497" t="s">
        <v>9</v>
      </c>
      <c r="G700" s="283">
        <f t="shared" si="334"/>
        <v>0</v>
      </c>
      <c r="H700" s="304">
        <f t="shared" si="334"/>
        <v>0</v>
      </c>
      <c r="I700" s="283">
        <f t="shared" si="334"/>
        <v>0</v>
      </c>
      <c r="J700" s="283">
        <f t="shared" si="334"/>
        <v>0</v>
      </c>
      <c r="K700" s="283">
        <f t="shared" si="334"/>
        <v>0</v>
      </c>
      <c r="L700" s="283">
        <f t="shared" si="334"/>
        <v>0</v>
      </c>
      <c r="M700" s="568">
        <f t="shared" si="334"/>
        <v>0</v>
      </c>
      <c r="N700" s="568">
        <f t="shared" si="334"/>
        <v>0</v>
      </c>
      <c r="O700" s="569">
        <f t="shared" si="334"/>
        <v>0</v>
      </c>
      <c r="P700" s="569">
        <f t="shared" si="334"/>
        <v>0</v>
      </c>
      <c r="Q700" s="569">
        <f t="shared" si="334"/>
        <v>0</v>
      </c>
      <c r="R700" s="569">
        <f t="shared" si="334"/>
        <v>0</v>
      </c>
      <c r="S700" s="132">
        <f t="shared" si="308"/>
        <v>0</v>
      </c>
    </row>
    <row r="701" spans="1:19" s="80" customFormat="1" ht="31.15" hidden="1" x14ac:dyDescent="0.3">
      <c r="A701" s="264" t="s">
        <v>124</v>
      </c>
      <c r="B701" s="380" t="s">
        <v>76</v>
      </c>
      <c r="C701" s="488" t="s">
        <v>90</v>
      </c>
      <c r="D701" s="380" t="s">
        <v>20</v>
      </c>
      <c r="E701" s="265" t="s">
        <v>444</v>
      </c>
      <c r="F701" s="380" t="s">
        <v>117</v>
      </c>
      <c r="G701" s="282"/>
      <c r="H701" s="303"/>
      <c r="I701" s="265"/>
      <c r="J701" s="265"/>
      <c r="K701" s="282"/>
      <c r="L701" s="265"/>
      <c r="M701" s="570"/>
      <c r="N701" s="570"/>
      <c r="O701" s="571"/>
      <c r="P701" s="571"/>
      <c r="Q701" s="571"/>
      <c r="R701" s="571"/>
      <c r="S701" s="131">
        <f t="shared" si="308"/>
        <v>0</v>
      </c>
    </row>
    <row r="702" spans="1:19" s="80" customFormat="1" x14ac:dyDescent="0.25">
      <c r="A702" s="267" t="s">
        <v>1090</v>
      </c>
      <c r="B702" s="497" t="s">
        <v>76</v>
      </c>
      <c r="C702" s="496" t="s">
        <v>90</v>
      </c>
      <c r="D702" s="497" t="s">
        <v>58</v>
      </c>
      <c r="E702" s="285" t="s">
        <v>365</v>
      </c>
      <c r="F702" s="497" t="s">
        <v>9</v>
      </c>
      <c r="G702" s="283">
        <f t="shared" ref="G702:R703" si="335">G703</f>
        <v>500</v>
      </c>
      <c r="H702" s="304">
        <f t="shared" si="335"/>
        <v>500</v>
      </c>
      <c r="I702" s="283">
        <f t="shared" si="335"/>
        <v>0</v>
      </c>
      <c r="J702" s="283">
        <f t="shared" si="335"/>
        <v>0</v>
      </c>
      <c r="K702" s="283">
        <f t="shared" si="335"/>
        <v>0</v>
      </c>
      <c r="L702" s="283">
        <f t="shared" si="335"/>
        <v>0</v>
      </c>
      <c r="M702" s="568">
        <f t="shared" si="335"/>
        <v>0</v>
      </c>
      <c r="N702" s="568">
        <f t="shared" si="335"/>
        <v>0</v>
      </c>
      <c r="O702" s="569">
        <f t="shared" si="335"/>
        <v>0</v>
      </c>
      <c r="P702" s="569">
        <f t="shared" si="335"/>
        <v>0</v>
      </c>
      <c r="Q702" s="569">
        <f t="shared" si="335"/>
        <v>0</v>
      </c>
      <c r="R702" s="569">
        <f t="shared" si="335"/>
        <v>0</v>
      </c>
      <c r="S702" s="132">
        <f t="shared" si="308"/>
        <v>1000</v>
      </c>
    </row>
    <row r="703" spans="1:19" s="80" customFormat="1" ht="31.5" x14ac:dyDescent="0.25">
      <c r="A703" s="267" t="s">
        <v>784</v>
      </c>
      <c r="B703" s="497" t="s">
        <v>76</v>
      </c>
      <c r="C703" s="496" t="s">
        <v>90</v>
      </c>
      <c r="D703" s="497" t="s">
        <v>58</v>
      </c>
      <c r="E703" s="285" t="s">
        <v>380</v>
      </c>
      <c r="F703" s="497" t="s">
        <v>9</v>
      </c>
      <c r="G703" s="283">
        <f t="shared" si="335"/>
        <v>500</v>
      </c>
      <c r="H703" s="304">
        <f t="shared" si="335"/>
        <v>500</v>
      </c>
      <c r="I703" s="283">
        <f t="shared" si="335"/>
        <v>0</v>
      </c>
      <c r="J703" s="283">
        <f t="shared" si="335"/>
        <v>0</v>
      </c>
      <c r="K703" s="283">
        <f t="shared" si="335"/>
        <v>0</v>
      </c>
      <c r="L703" s="283">
        <f t="shared" si="335"/>
        <v>0</v>
      </c>
      <c r="M703" s="568">
        <f t="shared" si="335"/>
        <v>0</v>
      </c>
      <c r="N703" s="568">
        <f t="shared" si="335"/>
        <v>0</v>
      </c>
      <c r="O703" s="569">
        <f t="shared" si="335"/>
        <v>0</v>
      </c>
      <c r="P703" s="569">
        <f t="shared" si="335"/>
        <v>0</v>
      </c>
      <c r="Q703" s="569">
        <f t="shared" si="335"/>
        <v>0</v>
      </c>
      <c r="R703" s="569">
        <f t="shared" si="335"/>
        <v>0</v>
      </c>
      <c r="S703" s="132">
        <f t="shared" si="308"/>
        <v>1000</v>
      </c>
    </row>
    <row r="704" spans="1:19" s="80" customFormat="1" ht="31.5" x14ac:dyDescent="0.25">
      <c r="A704" s="267" t="s">
        <v>52</v>
      </c>
      <c r="B704" s="497">
        <v>936</v>
      </c>
      <c r="C704" s="496" t="s">
        <v>90</v>
      </c>
      <c r="D704" s="497" t="s">
        <v>58</v>
      </c>
      <c r="E704" s="285" t="s">
        <v>394</v>
      </c>
      <c r="F704" s="497" t="s">
        <v>9</v>
      </c>
      <c r="G704" s="283">
        <f t="shared" ref="G704:R704" si="336">G705+G707+G709</f>
        <v>500</v>
      </c>
      <c r="H704" s="304">
        <f t="shared" si="336"/>
        <v>500</v>
      </c>
      <c r="I704" s="283">
        <f t="shared" si="336"/>
        <v>0</v>
      </c>
      <c r="J704" s="283">
        <f t="shared" si="336"/>
        <v>0</v>
      </c>
      <c r="K704" s="283">
        <f t="shared" si="336"/>
        <v>0</v>
      </c>
      <c r="L704" s="283">
        <f t="shared" si="336"/>
        <v>0</v>
      </c>
      <c r="M704" s="568">
        <f t="shared" si="336"/>
        <v>0</v>
      </c>
      <c r="N704" s="568">
        <f t="shared" si="336"/>
        <v>0</v>
      </c>
      <c r="O704" s="132">
        <f t="shared" si="336"/>
        <v>0</v>
      </c>
      <c r="P704" s="132">
        <f t="shared" si="336"/>
        <v>0</v>
      </c>
      <c r="Q704" s="132">
        <f t="shared" si="336"/>
        <v>0</v>
      </c>
      <c r="R704" s="132">
        <f t="shared" si="336"/>
        <v>0</v>
      </c>
      <c r="S704" s="132">
        <f t="shared" si="308"/>
        <v>1000</v>
      </c>
    </row>
    <row r="705" spans="1:21" s="80" customFormat="1" ht="31.5" x14ac:dyDescent="0.25">
      <c r="A705" s="267" t="s">
        <v>1089</v>
      </c>
      <c r="B705" s="497">
        <v>936</v>
      </c>
      <c r="C705" s="496" t="s">
        <v>90</v>
      </c>
      <c r="D705" s="497" t="s">
        <v>58</v>
      </c>
      <c r="E705" s="285" t="s">
        <v>1088</v>
      </c>
      <c r="F705" s="497" t="s">
        <v>9</v>
      </c>
      <c r="G705" s="283">
        <f t="shared" ref="G705:R705" si="337">G706</f>
        <v>475</v>
      </c>
      <c r="H705" s="304">
        <f t="shared" si="337"/>
        <v>0</v>
      </c>
      <c r="I705" s="283">
        <f t="shared" si="337"/>
        <v>0</v>
      </c>
      <c r="J705" s="283">
        <f t="shared" si="337"/>
        <v>0</v>
      </c>
      <c r="K705" s="283">
        <f t="shared" si="337"/>
        <v>0</v>
      </c>
      <c r="L705" s="283">
        <f t="shared" si="337"/>
        <v>0</v>
      </c>
      <c r="M705" s="568">
        <f t="shared" si="337"/>
        <v>0</v>
      </c>
      <c r="N705" s="568">
        <f t="shared" si="337"/>
        <v>0</v>
      </c>
      <c r="O705" s="569">
        <f t="shared" si="337"/>
        <v>0</v>
      </c>
      <c r="P705" s="569">
        <f t="shared" si="337"/>
        <v>0</v>
      </c>
      <c r="Q705" s="569">
        <f t="shared" si="337"/>
        <v>0</v>
      </c>
      <c r="R705" s="569">
        <f t="shared" si="337"/>
        <v>0</v>
      </c>
      <c r="S705" s="132">
        <f t="shared" si="308"/>
        <v>475</v>
      </c>
    </row>
    <row r="706" spans="1:21" s="80" customFormat="1" ht="31.5" x14ac:dyDescent="0.25">
      <c r="A706" s="264" t="s">
        <v>124</v>
      </c>
      <c r="B706" s="380">
        <v>936</v>
      </c>
      <c r="C706" s="488" t="s">
        <v>90</v>
      </c>
      <c r="D706" s="380" t="s">
        <v>58</v>
      </c>
      <c r="E706" s="265" t="s">
        <v>1088</v>
      </c>
      <c r="F706" s="380" t="s">
        <v>117</v>
      </c>
      <c r="G706" s="300">
        <v>475</v>
      </c>
      <c r="H706" s="303"/>
      <c r="I706" s="265"/>
      <c r="J706" s="265"/>
      <c r="K706" s="282"/>
      <c r="L706" s="265"/>
      <c r="M706" s="570"/>
      <c r="N706" s="570"/>
      <c r="O706" s="571"/>
      <c r="P706" s="571"/>
      <c r="Q706" s="571"/>
      <c r="R706" s="571"/>
      <c r="S706" s="566">
        <f t="shared" si="308"/>
        <v>475</v>
      </c>
    </row>
    <row r="707" spans="1:21" s="80" customFormat="1" ht="31.5" x14ac:dyDescent="0.25">
      <c r="A707" s="267" t="s">
        <v>1089</v>
      </c>
      <c r="B707" s="497">
        <v>936</v>
      </c>
      <c r="C707" s="496" t="s">
        <v>90</v>
      </c>
      <c r="D707" s="497" t="s">
        <v>58</v>
      </c>
      <c r="E707" s="285" t="s">
        <v>1091</v>
      </c>
      <c r="F707" s="497" t="s">
        <v>9</v>
      </c>
      <c r="G707" s="283">
        <f t="shared" ref="G707:R707" si="338">G708</f>
        <v>25</v>
      </c>
      <c r="H707" s="304">
        <f t="shared" si="338"/>
        <v>0</v>
      </c>
      <c r="I707" s="283">
        <f t="shared" si="338"/>
        <v>0</v>
      </c>
      <c r="J707" s="283">
        <f t="shared" si="338"/>
        <v>0</v>
      </c>
      <c r="K707" s="283">
        <f t="shared" si="338"/>
        <v>0</v>
      </c>
      <c r="L707" s="283">
        <f t="shared" si="338"/>
        <v>0</v>
      </c>
      <c r="M707" s="568">
        <f t="shared" si="338"/>
        <v>0</v>
      </c>
      <c r="N707" s="568">
        <f t="shared" si="338"/>
        <v>0</v>
      </c>
      <c r="O707" s="569">
        <f t="shared" si="338"/>
        <v>0</v>
      </c>
      <c r="P707" s="569">
        <f t="shared" si="338"/>
        <v>0</v>
      </c>
      <c r="Q707" s="569">
        <f t="shared" si="338"/>
        <v>0</v>
      </c>
      <c r="R707" s="569">
        <f t="shared" si="338"/>
        <v>0</v>
      </c>
      <c r="S707" s="132">
        <f t="shared" si="308"/>
        <v>25</v>
      </c>
    </row>
    <row r="708" spans="1:21" s="80" customFormat="1" ht="31.5" x14ac:dyDescent="0.25">
      <c r="A708" s="264" t="s">
        <v>124</v>
      </c>
      <c r="B708" s="380">
        <v>936</v>
      </c>
      <c r="C708" s="488" t="s">
        <v>90</v>
      </c>
      <c r="D708" s="380" t="s">
        <v>58</v>
      </c>
      <c r="E708" s="265" t="s">
        <v>1091</v>
      </c>
      <c r="F708" s="380" t="s">
        <v>117</v>
      </c>
      <c r="G708" s="300">
        <v>25</v>
      </c>
      <c r="H708" s="303"/>
      <c r="I708" s="265"/>
      <c r="J708" s="265"/>
      <c r="K708" s="282"/>
      <c r="L708" s="265"/>
      <c r="M708" s="570"/>
      <c r="N708" s="570"/>
      <c r="O708" s="571"/>
      <c r="P708" s="571"/>
      <c r="Q708" s="571"/>
      <c r="R708" s="571"/>
      <c r="S708" s="566">
        <f t="shared" si="308"/>
        <v>25</v>
      </c>
    </row>
    <row r="709" spans="1:21" s="80" customFormat="1" ht="31.5" x14ac:dyDescent="0.25">
      <c r="A709" s="267" t="s">
        <v>1089</v>
      </c>
      <c r="B709" s="497">
        <v>936</v>
      </c>
      <c r="C709" s="496" t="s">
        <v>90</v>
      </c>
      <c r="D709" s="497" t="s">
        <v>58</v>
      </c>
      <c r="E709" s="285" t="s">
        <v>1126</v>
      </c>
      <c r="F709" s="497" t="s">
        <v>9</v>
      </c>
      <c r="G709" s="300">
        <f t="shared" ref="G709:R709" si="339">G710</f>
        <v>0</v>
      </c>
      <c r="H709" s="303">
        <f t="shared" si="339"/>
        <v>500</v>
      </c>
      <c r="I709" s="282">
        <f t="shared" si="339"/>
        <v>0</v>
      </c>
      <c r="J709" s="282">
        <f t="shared" si="339"/>
        <v>0</v>
      </c>
      <c r="K709" s="282">
        <f t="shared" si="339"/>
        <v>0</v>
      </c>
      <c r="L709" s="282">
        <f t="shared" si="339"/>
        <v>0</v>
      </c>
      <c r="M709" s="566">
        <f t="shared" si="339"/>
        <v>0</v>
      </c>
      <c r="N709" s="566">
        <f t="shared" si="339"/>
        <v>0</v>
      </c>
      <c r="O709" s="582">
        <f t="shared" si="339"/>
        <v>0</v>
      </c>
      <c r="P709" s="582">
        <f t="shared" si="339"/>
        <v>0</v>
      </c>
      <c r="Q709" s="582">
        <f t="shared" si="339"/>
        <v>0</v>
      </c>
      <c r="R709" s="582">
        <f t="shared" si="339"/>
        <v>0</v>
      </c>
      <c r="S709" s="131">
        <f t="shared" si="308"/>
        <v>500</v>
      </c>
    </row>
    <row r="710" spans="1:21" s="80" customFormat="1" ht="31.5" x14ac:dyDescent="0.25">
      <c r="A710" s="264" t="s">
        <v>124</v>
      </c>
      <c r="B710" s="380">
        <v>936</v>
      </c>
      <c r="C710" s="488" t="s">
        <v>90</v>
      </c>
      <c r="D710" s="380" t="s">
        <v>58</v>
      </c>
      <c r="E710" s="265" t="s">
        <v>1126</v>
      </c>
      <c r="F710" s="380" t="s">
        <v>117</v>
      </c>
      <c r="G710" s="300"/>
      <c r="H710" s="303">
        <f>360.6+139.4</f>
        <v>500</v>
      </c>
      <c r="I710" s="265"/>
      <c r="J710" s="265"/>
      <c r="K710" s="282"/>
      <c r="L710" s="265"/>
      <c r="M710" s="570"/>
      <c r="N710" s="570"/>
      <c r="O710" s="571"/>
      <c r="P710" s="571"/>
      <c r="Q710" s="571"/>
      <c r="R710" s="571"/>
      <c r="S710" s="566">
        <f t="shared" si="308"/>
        <v>500</v>
      </c>
    </row>
    <row r="711" spans="1:21" s="80" customFormat="1" x14ac:dyDescent="0.25">
      <c r="A711" s="264" t="s">
        <v>30</v>
      </c>
      <c r="B711" s="380" t="s">
        <v>76</v>
      </c>
      <c r="C711" s="488" t="s">
        <v>31</v>
      </c>
      <c r="D711" s="380" t="s">
        <v>10</v>
      </c>
      <c r="E711" s="265" t="s">
        <v>365</v>
      </c>
      <c r="F711" s="380" t="s">
        <v>9</v>
      </c>
      <c r="G711" s="282">
        <f t="shared" ref="G711:R711" si="340">G727+G720+G712</f>
        <v>73.61</v>
      </c>
      <c r="H711" s="282">
        <f t="shared" si="340"/>
        <v>20797.2</v>
      </c>
      <c r="I711" s="282">
        <f t="shared" si="340"/>
        <v>0</v>
      </c>
      <c r="J711" s="282">
        <f t="shared" si="340"/>
        <v>53.3</v>
      </c>
      <c r="K711" s="282">
        <f t="shared" si="340"/>
        <v>1729.6</v>
      </c>
      <c r="L711" s="282">
        <f t="shared" si="340"/>
        <v>15.2</v>
      </c>
      <c r="M711" s="566">
        <f t="shared" si="340"/>
        <v>24.99</v>
      </c>
      <c r="N711" s="566">
        <f t="shared" si="340"/>
        <v>417</v>
      </c>
      <c r="O711" s="131">
        <f t="shared" si="340"/>
        <v>0</v>
      </c>
      <c r="P711" s="131">
        <f t="shared" si="340"/>
        <v>0</v>
      </c>
      <c r="Q711" s="131">
        <f t="shared" si="340"/>
        <v>0</v>
      </c>
      <c r="R711" s="131">
        <f t="shared" si="340"/>
        <v>0</v>
      </c>
      <c r="S711" s="131">
        <f t="shared" si="308"/>
        <v>23110.9</v>
      </c>
    </row>
    <row r="712" spans="1:21" s="80" customFormat="1" x14ac:dyDescent="0.25">
      <c r="A712" s="267" t="s">
        <v>516</v>
      </c>
      <c r="B712" s="497" t="s">
        <v>76</v>
      </c>
      <c r="C712" s="496" t="s">
        <v>31</v>
      </c>
      <c r="D712" s="497" t="s">
        <v>20</v>
      </c>
      <c r="E712" s="285" t="s">
        <v>365</v>
      </c>
      <c r="F712" s="497" t="s">
        <v>9</v>
      </c>
      <c r="G712" s="282">
        <f t="shared" ref="G712:R715" si="341">G713</f>
        <v>0</v>
      </c>
      <c r="H712" s="282">
        <f t="shared" si="341"/>
        <v>20787.2</v>
      </c>
      <c r="I712" s="282">
        <f t="shared" si="341"/>
        <v>0</v>
      </c>
      <c r="J712" s="282">
        <f t="shared" si="341"/>
        <v>4.3</v>
      </c>
      <c r="K712" s="282">
        <f t="shared" si="341"/>
        <v>1729.6</v>
      </c>
      <c r="L712" s="282">
        <f t="shared" si="341"/>
        <v>15.2</v>
      </c>
      <c r="M712" s="566">
        <f t="shared" si="341"/>
        <v>0</v>
      </c>
      <c r="N712" s="566">
        <f t="shared" si="341"/>
        <v>402</v>
      </c>
      <c r="O712" s="131">
        <f t="shared" si="341"/>
        <v>0</v>
      </c>
      <c r="P712" s="131">
        <f t="shared" si="341"/>
        <v>0</v>
      </c>
      <c r="Q712" s="131">
        <f t="shared" si="341"/>
        <v>0</v>
      </c>
      <c r="R712" s="131">
        <f t="shared" si="341"/>
        <v>0</v>
      </c>
      <c r="S712" s="132">
        <f t="shared" si="308"/>
        <v>22938.3</v>
      </c>
      <c r="T712" s="77"/>
      <c r="U712" s="77"/>
    </row>
    <row r="713" spans="1:21" s="80" customFormat="1" ht="31.5" x14ac:dyDescent="0.25">
      <c r="A713" s="267" t="s">
        <v>784</v>
      </c>
      <c r="B713" s="497" t="s">
        <v>76</v>
      </c>
      <c r="C713" s="496" t="s">
        <v>31</v>
      </c>
      <c r="D713" s="497" t="s">
        <v>20</v>
      </c>
      <c r="E713" s="285" t="s">
        <v>380</v>
      </c>
      <c r="F713" s="497" t="s">
        <v>9</v>
      </c>
      <c r="G713" s="283">
        <f t="shared" si="341"/>
        <v>0</v>
      </c>
      <c r="H713" s="283">
        <f t="shared" si="341"/>
        <v>20787.2</v>
      </c>
      <c r="I713" s="283">
        <f t="shared" si="341"/>
        <v>0</v>
      </c>
      <c r="J713" s="283">
        <f t="shared" si="341"/>
        <v>4.3</v>
      </c>
      <c r="K713" s="283">
        <f t="shared" si="341"/>
        <v>1729.6</v>
      </c>
      <c r="L713" s="283">
        <f t="shared" si="341"/>
        <v>15.2</v>
      </c>
      <c r="M713" s="568">
        <f t="shared" si="341"/>
        <v>0</v>
      </c>
      <c r="N713" s="568">
        <f t="shared" si="341"/>
        <v>402</v>
      </c>
      <c r="O713" s="132">
        <f t="shared" si="341"/>
        <v>0</v>
      </c>
      <c r="P713" s="132">
        <f t="shared" si="341"/>
        <v>0</v>
      </c>
      <c r="Q713" s="132">
        <f t="shared" si="341"/>
        <v>0</v>
      </c>
      <c r="R713" s="132">
        <f t="shared" si="341"/>
        <v>0</v>
      </c>
      <c r="S713" s="132">
        <f t="shared" si="308"/>
        <v>22938.3</v>
      </c>
    </row>
    <row r="714" spans="1:21" s="80" customFormat="1" x14ac:dyDescent="0.25">
      <c r="A714" s="267" t="s">
        <v>15</v>
      </c>
      <c r="B714" s="497" t="s">
        <v>76</v>
      </c>
      <c r="C714" s="496" t="s">
        <v>31</v>
      </c>
      <c r="D714" s="497" t="s">
        <v>20</v>
      </c>
      <c r="E714" s="285" t="s">
        <v>433</v>
      </c>
      <c r="F714" s="497" t="s">
        <v>9</v>
      </c>
      <c r="G714" s="283">
        <f t="shared" si="341"/>
        <v>0</v>
      </c>
      <c r="H714" s="283">
        <f t="shared" si="341"/>
        <v>20787.2</v>
      </c>
      <c r="I714" s="283">
        <f t="shared" si="341"/>
        <v>0</v>
      </c>
      <c r="J714" s="283">
        <f t="shared" si="341"/>
        <v>4.3</v>
      </c>
      <c r="K714" s="283">
        <f t="shared" si="341"/>
        <v>1729.6</v>
      </c>
      <c r="L714" s="283">
        <f t="shared" si="341"/>
        <v>15.2</v>
      </c>
      <c r="M714" s="568">
        <f t="shared" si="341"/>
        <v>0</v>
      </c>
      <c r="N714" s="568">
        <f t="shared" si="341"/>
        <v>402</v>
      </c>
      <c r="O714" s="132">
        <f t="shared" si="341"/>
        <v>0</v>
      </c>
      <c r="P714" s="132">
        <f t="shared" si="341"/>
        <v>0</v>
      </c>
      <c r="Q714" s="132">
        <f t="shared" si="341"/>
        <v>0</v>
      </c>
      <c r="R714" s="132">
        <f t="shared" si="341"/>
        <v>0</v>
      </c>
      <c r="S714" s="132">
        <f t="shared" si="308"/>
        <v>22938.3</v>
      </c>
    </row>
    <row r="715" spans="1:21" s="80" customFormat="1" ht="31.5" x14ac:dyDescent="0.25">
      <c r="A715" s="267" t="s">
        <v>567</v>
      </c>
      <c r="B715" s="497" t="s">
        <v>76</v>
      </c>
      <c r="C715" s="496" t="s">
        <v>31</v>
      </c>
      <c r="D715" s="497" t="s">
        <v>20</v>
      </c>
      <c r="E715" s="285" t="s">
        <v>1150</v>
      </c>
      <c r="F715" s="497" t="s">
        <v>9</v>
      </c>
      <c r="G715" s="283">
        <f t="shared" si="341"/>
        <v>0</v>
      </c>
      <c r="H715" s="283">
        <f t="shared" si="341"/>
        <v>20787.2</v>
      </c>
      <c r="I715" s="283">
        <f t="shared" si="341"/>
        <v>0</v>
      </c>
      <c r="J715" s="283">
        <f t="shared" si="341"/>
        <v>4.3</v>
      </c>
      <c r="K715" s="283">
        <f t="shared" si="341"/>
        <v>1729.6</v>
      </c>
      <c r="L715" s="283">
        <f t="shared" si="341"/>
        <v>15.2</v>
      </c>
      <c r="M715" s="568">
        <f t="shared" si="341"/>
        <v>0</v>
      </c>
      <c r="N715" s="568">
        <f t="shared" si="341"/>
        <v>402</v>
      </c>
      <c r="O715" s="132">
        <f t="shared" si="341"/>
        <v>0</v>
      </c>
      <c r="P715" s="132">
        <f t="shared" si="341"/>
        <v>0</v>
      </c>
      <c r="Q715" s="132">
        <f t="shared" si="341"/>
        <v>0</v>
      </c>
      <c r="R715" s="132">
        <f t="shared" si="341"/>
        <v>0</v>
      </c>
      <c r="S715" s="132">
        <f t="shared" si="308"/>
        <v>22938.3</v>
      </c>
    </row>
    <row r="716" spans="1:21" s="80" customFormat="1" x14ac:dyDescent="0.25">
      <c r="A716" s="267" t="s">
        <v>38</v>
      </c>
      <c r="B716" s="497" t="s">
        <v>76</v>
      </c>
      <c r="C716" s="496" t="s">
        <v>31</v>
      </c>
      <c r="D716" s="497" t="s">
        <v>20</v>
      </c>
      <c r="E716" s="285" t="s">
        <v>1151</v>
      </c>
      <c r="F716" s="497" t="s">
        <v>9</v>
      </c>
      <c r="G716" s="283">
        <f t="shared" ref="G716:R716" si="342">G717+G718+G719</f>
        <v>0</v>
      </c>
      <c r="H716" s="283">
        <f t="shared" si="342"/>
        <v>20787.2</v>
      </c>
      <c r="I716" s="283">
        <f t="shared" si="342"/>
        <v>0</v>
      </c>
      <c r="J716" s="283">
        <f t="shared" si="342"/>
        <v>4.3</v>
      </c>
      <c r="K716" s="283">
        <f t="shared" si="342"/>
        <v>1729.6</v>
      </c>
      <c r="L716" s="283">
        <f t="shared" si="342"/>
        <v>15.2</v>
      </c>
      <c r="M716" s="568">
        <f t="shared" si="342"/>
        <v>0</v>
      </c>
      <c r="N716" s="568">
        <f t="shared" si="342"/>
        <v>402</v>
      </c>
      <c r="O716" s="132">
        <f t="shared" si="342"/>
        <v>0</v>
      </c>
      <c r="P716" s="132">
        <f t="shared" si="342"/>
        <v>0</v>
      </c>
      <c r="Q716" s="132">
        <f t="shared" si="342"/>
        <v>0</v>
      </c>
      <c r="R716" s="132">
        <f t="shared" si="342"/>
        <v>0</v>
      </c>
      <c r="S716" s="132">
        <f t="shared" si="308"/>
        <v>22938.3</v>
      </c>
    </row>
    <row r="717" spans="1:21" s="77" customFormat="1" ht="63" x14ac:dyDescent="0.25">
      <c r="A717" s="264" t="s">
        <v>115</v>
      </c>
      <c r="B717" s="380">
        <v>936</v>
      </c>
      <c r="C717" s="488" t="s">
        <v>31</v>
      </c>
      <c r="D717" s="380" t="s">
        <v>20</v>
      </c>
      <c r="E717" s="265" t="s">
        <v>1151</v>
      </c>
      <c r="F717" s="380" t="s">
        <v>113</v>
      </c>
      <c r="G717" s="282"/>
      <c r="H717" s="303">
        <v>18939</v>
      </c>
      <c r="I717" s="265"/>
      <c r="J717" s="265"/>
      <c r="K717" s="419">
        <v>1729.6</v>
      </c>
      <c r="L717" s="265">
        <v>2</v>
      </c>
      <c r="M717" s="570"/>
      <c r="N717" s="570"/>
      <c r="O717" s="571"/>
      <c r="P717" s="571"/>
      <c r="Q717" s="571"/>
      <c r="R717" s="571"/>
      <c r="S717" s="566">
        <f t="shared" si="308"/>
        <v>20670.599999999999</v>
      </c>
    </row>
    <row r="718" spans="1:21" s="77" customFormat="1" ht="31.5" x14ac:dyDescent="0.25">
      <c r="A718" s="264" t="s">
        <v>124</v>
      </c>
      <c r="B718" s="380">
        <v>936</v>
      </c>
      <c r="C718" s="488" t="s">
        <v>31</v>
      </c>
      <c r="D718" s="380" t="s">
        <v>20</v>
      </c>
      <c r="E718" s="265" t="s">
        <v>1151</v>
      </c>
      <c r="F718" s="380" t="s">
        <v>117</v>
      </c>
      <c r="G718" s="282"/>
      <c r="H718" s="303">
        <v>1826.5</v>
      </c>
      <c r="I718" s="265"/>
      <c r="J718" s="282">
        <v>4.3</v>
      </c>
      <c r="K718" s="265"/>
      <c r="L718" s="265">
        <v>13.2</v>
      </c>
      <c r="M718" s="570"/>
      <c r="N718" s="570">
        <v>402</v>
      </c>
      <c r="O718" s="571"/>
      <c r="P718" s="571"/>
      <c r="Q718" s="571"/>
      <c r="R718" s="571"/>
      <c r="S718" s="566">
        <f t="shared" ref="S718:S781" si="343">G718+H718+I718+J718+K718+L718+M718+N718+O718+P718+Q718+R718</f>
        <v>2246</v>
      </c>
    </row>
    <row r="719" spans="1:21" s="77" customFormat="1" x14ac:dyDescent="0.25">
      <c r="A719" s="264" t="s">
        <v>116</v>
      </c>
      <c r="B719" s="380" t="s">
        <v>76</v>
      </c>
      <c r="C719" s="488" t="s">
        <v>31</v>
      </c>
      <c r="D719" s="380" t="s">
        <v>20</v>
      </c>
      <c r="E719" s="265" t="s">
        <v>1151</v>
      </c>
      <c r="F719" s="380" t="s">
        <v>114</v>
      </c>
      <c r="G719" s="282"/>
      <c r="H719" s="303">
        <v>21.7</v>
      </c>
      <c r="I719" s="265"/>
      <c r="J719" s="265"/>
      <c r="K719" s="265"/>
      <c r="L719" s="265"/>
      <c r="M719" s="570"/>
      <c r="N719" s="570"/>
      <c r="O719" s="571"/>
      <c r="P719" s="571"/>
      <c r="Q719" s="571"/>
      <c r="R719" s="571"/>
      <c r="S719" s="566">
        <f t="shared" si="343"/>
        <v>21.7</v>
      </c>
    </row>
    <row r="720" spans="1:21" s="77" customFormat="1" ht="31.5" x14ac:dyDescent="0.25">
      <c r="A720" s="264" t="s">
        <v>57</v>
      </c>
      <c r="B720" s="380" t="s">
        <v>76</v>
      </c>
      <c r="C720" s="488" t="s">
        <v>31</v>
      </c>
      <c r="D720" s="380" t="s">
        <v>58</v>
      </c>
      <c r="E720" s="265" t="s">
        <v>365</v>
      </c>
      <c r="F720" s="380" t="s">
        <v>9</v>
      </c>
      <c r="G720" s="282">
        <f t="shared" ref="G720:R720" si="344">G721</f>
        <v>73.61</v>
      </c>
      <c r="H720" s="303">
        <f t="shared" si="344"/>
        <v>0</v>
      </c>
      <c r="I720" s="282">
        <f t="shared" si="344"/>
        <v>0</v>
      </c>
      <c r="J720" s="282">
        <f t="shared" si="344"/>
        <v>0</v>
      </c>
      <c r="K720" s="282">
        <f t="shared" si="344"/>
        <v>0</v>
      </c>
      <c r="L720" s="282">
        <f t="shared" si="344"/>
        <v>0</v>
      </c>
      <c r="M720" s="566">
        <f t="shared" si="344"/>
        <v>-0.01</v>
      </c>
      <c r="N720" s="566">
        <f t="shared" si="344"/>
        <v>0</v>
      </c>
      <c r="O720" s="567">
        <f t="shared" si="344"/>
        <v>0</v>
      </c>
      <c r="P720" s="567">
        <f t="shared" si="344"/>
        <v>0</v>
      </c>
      <c r="Q720" s="567">
        <f t="shared" si="344"/>
        <v>0</v>
      </c>
      <c r="R720" s="567">
        <f t="shared" si="344"/>
        <v>0</v>
      </c>
      <c r="S720" s="131">
        <f t="shared" si="343"/>
        <v>73.599999999999994</v>
      </c>
    </row>
    <row r="721" spans="1:19" s="80" customFormat="1" ht="31.5" x14ac:dyDescent="0.25">
      <c r="A721" s="267" t="s">
        <v>784</v>
      </c>
      <c r="B721" s="497" t="s">
        <v>76</v>
      </c>
      <c r="C721" s="496" t="s">
        <v>31</v>
      </c>
      <c r="D721" s="497" t="s">
        <v>58</v>
      </c>
      <c r="E721" s="285" t="s">
        <v>380</v>
      </c>
      <c r="F721" s="497" t="s">
        <v>9</v>
      </c>
      <c r="G721" s="283">
        <f t="shared" ref="G721:R721" si="345">G722+G725</f>
        <v>73.61</v>
      </c>
      <c r="H721" s="304">
        <f t="shared" si="345"/>
        <v>0</v>
      </c>
      <c r="I721" s="283">
        <f t="shared" si="345"/>
        <v>0</v>
      </c>
      <c r="J721" s="283">
        <f t="shared" si="345"/>
        <v>0</v>
      </c>
      <c r="K721" s="283">
        <f t="shared" si="345"/>
        <v>0</v>
      </c>
      <c r="L721" s="283">
        <f t="shared" si="345"/>
        <v>0</v>
      </c>
      <c r="M721" s="568">
        <f t="shared" si="345"/>
        <v>-0.01</v>
      </c>
      <c r="N721" s="568">
        <f t="shared" si="345"/>
        <v>0</v>
      </c>
      <c r="O721" s="569">
        <f t="shared" si="345"/>
        <v>0</v>
      </c>
      <c r="P721" s="569">
        <f t="shared" si="345"/>
        <v>0</v>
      </c>
      <c r="Q721" s="569">
        <f t="shared" si="345"/>
        <v>0</v>
      </c>
      <c r="R721" s="569">
        <f t="shared" si="345"/>
        <v>0</v>
      </c>
      <c r="S721" s="132">
        <f t="shared" si="343"/>
        <v>73.599999999999994</v>
      </c>
    </row>
    <row r="722" spans="1:19" s="77" customFormat="1" ht="47.25" x14ac:dyDescent="0.25">
      <c r="A722" s="267" t="s">
        <v>41</v>
      </c>
      <c r="B722" s="497" t="s">
        <v>76</v>
      </c>
      <c r="C722" s="496" t="s">
        <v>31</v>
      </c>
      <c r="D722" s="497" t="s">
        <v>58</v>
      </c>
      <c r="E722" s="285" t="s">
        <v>414</v>
      </c>
      <c r="F722" s="497" t="s">
        <v>9</v>
      </c>
      <c r="G722" s="283">
        <f t="shared" ref="G722:R722" si="346">G724</f>
        <v>72.87</v>
      </c>
      <c r="H722" s="304">
        <f t="shared" si="346"/>
        <v>0</v>
      </c>
      <c r="I722" s="283">
        <f t="shared" si="346"/>
        <v>0</v>
      </c>
      <c r="J722" s="283">
        <f t="shared" si="346"/>
        <v>0</v>
      </c>
      <c r="K722" s="283">
        <f t="shared" si="346"/>
        <v>0</v>
      </c>
      <c r="L722" s="283">
        <f t="shared" si="346"/>
        <v>0</v>
      </c>
      <c r="M722" s="568">
        <f t="shared" si="346"/>
        <v>-6.0000000000000001E-3</v>
      </c>
      <c r="N722" s="568">
        <f t="shared" si="346"/>
        <v>0</v>
      </c>
      <c r="O722" s="569">
        <f t="shared" si="346"/>
        <v>0</v>
      </c>
      <c r="P722" s="569">
        <f t="shared" si="346"/>
        <v>0</v>
      </c>
      <c r="Q722" s="569">
        <f t="shared" si="346"/>
        <v>0</v>
      </c>
      <c r="R722" s="569">
        <f t="shared" si="346"/>
        <v>0</v>
      </c>
      <c r="S722" s="132">
        <f t="shared" si="343"/>
        <v>72.864000000000004</v>
      </c>
    </row>
    <row r="723" spans="1:19" s="77" customFormat="1" ht="31.5" x14ac:dyDescent="0.25">
      <c r="A723" s="267" t="s">
        <v>848</v>
      </c>
      <c r="B723" s="497" t="s">
        <v>76</v>
      </c>
      <c r="C723" s="496" t="s">
        <v>31</v>
      </c>
      <c r="D723" s="497" t="s">
        <v>58</v>
      </c>
      <c r="E723" s="285" t="s">
        <v>707</v>
      </c>
      <c r="F723" s="497" t="s">
        <v>9</v>
      </c>
      <c r="G723" s="283">
        <f t="shared" ref="G723:R723" si="347">G724</f>
        <v>72.87</v>
      </c>
      <c r="H723" s="304">
        <f t="shared" si="347"/>
        <v>0</v>
      </c>
      <c r="I723" s="283">
        <f t="shared" si="347"/>
        <v>0</v>
      </c>
      <c r="J723" s="283">
        <f t="shared" si="347"/>
        <v>0</v>
      </c>
      <c r="K723" s="283">
        <f t="shared" si="347"/>
        <v>0</v>
      </c>
      <c r="L723" s="283">
        <f t="shared" si="347"/>
        <v>0</v>
      </c>
      <c r="M723" s="568">
        <f t="shared" si="347"/>
        <v>-6.0000000000000001E-3</v>
      </c>
      <c r="N723" s="568">
        <f t="shared" si="347"/>
        <v>0</v>
      </c>
      <c r="O723" s="569">
        <f t="shared" si="347"/>
        <v>0</v>
      </c>
      <c r="P723" s="569">
        <f t="shared" si="347"/>
        <v>0</v>
      </c>
      <c r="Q723" s="569">
        <f t="shared" si="347"/>
        <v>0</v>
      </c>
      <c r="R723" s="569">
        <f t="shared" si="347"/>
        <v>0</v>
      </c>
      <c r="S723" s="132">
        <f t="shared" si="343"/>
        <v>72.864000000000004</v>
      </c>
    </row>
    <row r="724" spans="1:19" s="80" customFormat="1" ht="31.5" x14ac:dyDescent="0.25">
      <c r="A724" s="264" t="s">
        <v>124</v>
      </c>
      <c r="B724" s="380" t="s">
        <v>76</v>
      </c>
      <c r="C724" s="488" t="s">
        <v>31</v>
      </c>
      <c r="D724" s="380" t="s">
        <v>58</v>
      </c>
      <c r="E724" s="265" t="s">
        <v>707</v>
      </c>
      <c r="F724" s="380" t="s">
        <v>117</v>
      </c>
      <c r="G724" s="300">
        <v>72.87</v>
      </c>
      <c r="H724" s="303"/>
      <c r="I724" s="265"/>
      <c r="J724" s="265"/>
      <c r="K724" s="265"/>
      <c r="L724" s="265"/>
      <c r="M724" s="612">
        <v>-6.0000000000000001E-3</v>
      </c>
      <c r="N724" s="570"/>
      <c r="O724" s="571"/>
      <c r="P724" s="571"/>
      <c r="Q724" s="571"/>
      <c r="R724" s="571"/>
      <c r="S724" s="566">
        <f t="shared" si="343"/>
        <v>72.864000000000004</v>
      </c>
    </row>
    <row r="725" spans="1:19" s="80" customFormat="1" ht="31.5" x14ac:dyDescent="0.25">
      <c r="A725" s="267" t="s">
        <v>848</v>
      </c>
      <c r="B725" s="497" t="s">
        <v>76</v>
      </c>
      <c r="C725" s="496" t="s">
        <v>31</v>
      </c>
      <c r="D725" s="497" t="s">
        <v>58</v>
      </c>
      <c r="E725" s="285" t="s">
        <v>708</v>
      </c>
      <c r="F725" s="497" t="s">
        <v>9</v>
      </c>
      <c r="G725" s="283">
        <f t="shared" ref="G725:R725" si="348">G726</f>
        <v>0.74</v>
      </c>
      <c r="H725" s="304">
        <f t="shared" si="348"/>
        <v>0</v>
      </c>
      <c r="I725" s="283">
        <f t="shared" si="348"/>
        <v>0</v>
      </c>
      <c r="J725" s="283">
        <f t="shared" si="348"/>
        <v>0</v>
      </c>
      <c r="K725" s="283">
        <f t="shared" si="348"/>
        <v>0</v>
      </c>
      <c r="L725" s="283">
        <f t="shared" si="348"/>
        <v>0</v>
      </c>
      <c r="M725" s="568">
        <f t="shared" si="348"/>
        <v>-4.0000000000000001E-3</v>
      </c>
      <c r="N725" s="568">
        <f t="shared" si="348"/>
        <v>0</v>
      </c>
      <c r="O725" s="569">
        <f t="shared" si="348"/>
        <v>0</v>
      </c>
      <c r="P725" s="569">
        <f t="shared" si="348"/>
        <v>0</v>
      </c>
      <c r="Q725" s="569">
        <f t="shared" si="348"/>
        <v>0</v>
      </c>
      <c r="R725" s="569">
        <f t="shared" si="348"/>
        <v>0</v>
      </c>
      <c r="S725" s="132">
        <f t="shared" si="343"/>
        <v>0.73599999999999999</v>
      </c>
    </row>
    <row r="726" spans="1:19" s="80" customFormat="1" ht="31.5" x14ac:dyDescent="0.25">
      <c r="A726" s="264" t="s">
        <v>124</v>
      </c>
      <c r="B726" s="380" t="s">
        <v>76</v>
      </c>
      <c r="C726" s="488" t="s">
        <v>31</v>
      </c>
      <c r="D726" s="380" t="s">
        <v>58</v>
      </c>
      <c r="E726" s="265" t="s">
        <v>708</v>
      </c>
      <c r="F726" s="380" t="s">
        <v>117</v>
      </c>
      <c r="G726" s="300">
        <v>0.74</v>
      </c>
      <c r="H726" s="303"/>
      <c r="I726" s="265"/>
      <c r="J726" s="265"/>
      <c r="K726" s="265"/>
      <c r="L726" s="265"/>
      <c r="M726" s="612">
        <v>-4.0000000000000001E-3</v>
      </c>
      <c r="N726" s="570"/>
      <c r="O726" s="571"/>
      <c r="P726" s="571"/>
      <c r="Q726" s="571"/>
      <c r="R726" s="571"/>
      <c r="S726" s="566">
        <f t="shared" si="343"/>
        <v>0.73599999999999999</v>
      </c>
    </row>
    <row r="727" spans="1:19" s="80" customFormat="1" x14ac:dyDescent="0.25">
      <c r="A727" s="267" t="s">
        <v>40</v>
      </c>
      <c r="B727" s="497" t="s">
        <v>76</v>
      </c>
      <c r="C727" s="496" t="s">
        <v>31</v>
      </c>
      <c r="D727" s="497" t="s">
        <v>31</v>
      </c>
      <c r="E727" s="285" t="s">
        <v>365</v>
      </c>
      <c r="F727" s="497" t="s">
        <v>9</v>
      </c>
      <c r="G727" s="283">
        <f t="shared" ref="G727:R728" si="349">G728</f>
        <v>0</v>
      </c>
      <c r="H727" s="304">
        <f t="shared" si="349"/>
        <v>10</v>
      </c>
      <c r="I727" s="283">
        <f t="shared" si="349"/>
        <v>0</v>
      </c>
      <c r="J727" s="283">
        <f t="shared" si="349"/>
        <v>49</v>
      </c>
      <c r="K727" s="283">
        <f t="shared" si="349"/>
        <v>0</v>
      </c>
      <c r="L727" s="283">
        <f t="shared" si="349"/>
        <v>0</v>
      </c>
      <c r="M727" s="568">
        <f t="shared" si="349"/>
        <v>25</v>
      </c>
      <c r="N727" s="568">
        <f t="shared" si="349"/>
        <v>15</v>
      </c>
      <c r="O727" s="569">
        <f t="shared" si="349"/>
        <v>0</v>
      </c>
      <c r="P727" s="569">
        <f t="shared" si="349"/>
        <v>0</v>
      </c>
      <c r="Q727" s="569">
        <f t="shared" si="349"/>
        <v>0</v>
      </c>
      <c r="R727" s="569">
        <f t="shared" si="349"/>
        <v>0</v>
      </c>
      <c r="S727" s="132">
        <f t="shared" si="343"/>
        <v>99</v>
      </c>
    </row>
    <row r="728" spans="1:19" s="80" customFormat="1" ht="31.5" x14ac:dyDescent="0.25">
      <c r="A728" s="267" t="s">
        <v>784</v>
      </c>
      <c r="B728" s="497" t="s">
        <v>76</v>
      </c>
      <c r="C728" s="496" t="s">
        <v>31</v>
      </c>
      <c r="D728" s="497" t="s">
        <v>31</v>
      </c>
      <c r="E728" s="285" t="s">
        <v>380</v>
      </c>
      <c r="F728" s="497" t="s">
        <v>9</v>
      </c>
      <c r="G728" s="283">
        <f t="shared" si="349"/>
        <v>0</v>
      </c>
      <c r="H728" s="304">
        <f t="shared" si="349"/>
        <v>10</v>
      </c>
      <c r="I728" s="283">
        <f t="shared" si="349"/>
        <v>0</v>
      </c>
      <c r="J728" s="283">
        <f t="shared" si="349"/>
        <v>49</v>
      </c>
      <c r="K728" s="283">
        <f t="shared" si="349"/>
        <v>0</v>
      </c>
      <c r="L728" s="283">
        <f t="shared" si="349"/>
        <v>0</v>
      </c>
      <c r="M728" s="568">
        <f t="shared" si="349"/>
        <v>25</v>
      </c>
      <c r="N728" s="568">
        <f t="shared" si="349"/>
        <v>15</v>
      </c>
      <c r="O728" s="569">
        <f t="shared" si="349"/>
        <v>0</v>
      </c>
      <c r="P728" s="569">
        <f t="shared" si="349"/>
        <v>0</v>
      </c>
      <c r="Q728" s="569">
        <f t="shared" si="349"/>
        <v>0</v>
      </c>
      <c r="R728" s="569">
        <f t="shared" si="349"/>
        <v>0</v>
      </c>
      <c r="S728" s="132">
        <f t="shared" si="343"/>
        <v>99</v>
      </c>
    </row>
    <row r="729" spans="1:19" s="77" customFormat="1" x14ac:dyDescent="0.25">
      <c r="A729" s="267" t="s">
        <v>15</v>
      </c>
      <c r="B729" s="497" t="s">
        <v>76</v>
      </c>
      <c r="C729" s="496" t="s">
        <v>31</v>
      </c>
      <c r="D729" s="497" t="s">
        <v>31</v>
      </c>
      <c r="E729" s="285" t="s">
        <v>433</v>
      </c>
      <c r="F729" s="497" t="s">
        <v>9</v>
      </c>
      <c r="G729" s="283">
        <f t="shared" ref="G729:R729" si="350">G730+G732</f>
        <v>0</v>
      </c>
      <c r="H729" s="304">
        <f t="shared" si="350"/>
        <v>10</v>
      </c>
      <c r="I729" s="283">
        <f t="shared" si="350"/>
        <v>0</v>
      </c>
      <c r="J729" s="283">
        <f t="shared" si="350"/>
        <v>49</v>
      </c>
      <c r="K729" s="283">
        <f t="shared" si="350"/>
        <v>0</v>
      </c>
      <c r="L729" s="283">
        <f t="shared" si="350"/>
        <v>0</v>
      </c>
      <c r="M729" s="568">
        <f t="shared" si="350"/>
        <v>25</v>
      </c>
      <c r="N729" s="568">
        <f t="shared" si="350"/>
        <v>15</v>
      </c>
      <c r="O729" s="569">
        <f t="shared" si="350"/>
        <v>0</v>
      </c>
      <c r="P729" s="569">
        <f t="shared" si="350"/>
        <v>0</v>
      </c>
      <c r="Q729" s="569">
        <f t="shared" si="350"/>
        <v>0</v>
      </c>
      <c r="R729" s="569">
        <f t="shared" si="350"/>
        <v>0</v>
      </c>
      <c r="S729" s="132">
        <f t="shared" si="343"/>
        <v>99</v>
      </c>
    </row>
    <row r="730" spans="1:19" s="80" customFormat="1" ht="31.5" x14ac:dyDescent="0.25">
      <c r="A730" s="267" t="s">
        <v>209</v>
      </c>
      <c r="B730" s="497" t="s">
        <v>76</v>
      </c>
      <c r="C730" s="496" t="s">
        <v>31</v>
      </c>
      <c r="D730" s="497" t="s">
        <v>31</v>
      </c>
      <c r="E730" s="285" t="s">
        <v>445</v>
      </c>
      <c r="F730" s="497" t="s">
        <v>9</v>
      </c>
      <c r="G730" s="283">
        <f t="shared" ref="G730:R730" si="351">G731</f>
        <v>0</v>
      </c>
      <c r="H730" s="304">
        <f t="shared" si="351"/>
        <v>2.5</v>
      </c>
      <c r="I730" s="283">
        <f t="shared" si="351"/>
        <v>0</v>
      </c>
      <c r="J730" s="283">
        <f t="shared" si="351"/>
        <v>3</v>
      </c>
      <c r="K730" s="283">
        <f t="shared" si="351"/>
        <v>0</v>
      </c>
      <c r="L730" s="283">
        <f t="shared" si="351"/>
        <v>0</v>
      </c>
      <c r="M730" s="568">
        <f t="shared" si="351"/>
        <v>5</v>
      </c>
      <c r="N730" s="568">
        <f t="shared" si="351"/>
        <v>0</v>
      </c>
      <c r="O730" s="569">
        <f t="shared" si="351"/>
        <v>0</v>
      </c>
      <c r="P730" s="569">
        <f t="shared" si="351"/>
        <v>0</v>
      </c>
      <c r="Q730" s="569">
        <f t="shared" si="351"/>
        <v>0</v>
      </c>
      <c r="R730" s="569">
        <f t="shared" si="351"/>
        <v>0</v>
      </c>
      <c r="S730" s="132">
        <f t="shared" si="343"/>
        <v>10.5</v>
      </c>
    </row>
    <row r="731" spans="1:19" s="80" customFormat="1" ht="31.5" x14ac:dyDescent="0.25">
      <c r="A731" s="264" t="s">
        <v>124</v>
      </c>
      <c r="B731" s="380" t="s">
        <v>76</v>
      </c>
      <c r="C731" s="488" t="s">
        <v>31</v>
      </c>
      <c r="D731" s="380" t="s">
        <v>31</v>
      </c>
      <c r="E731" s="265" t="s">
        <v>445</v>
      </c>
      <c r="F731" s="380" t="s">
        <v>117</v>
      </c>
      <c r="G731" s="282"/>
      <c r="H731" s="303">
        <v>2.5</v>
      </c>
      <c r="I731" s="265"/>
      <c r="J731" s="265">
        <v>3</v>
      </c>
      <c r="K731" s="265"/>
      <c r="L731" s="265"/>
      <c r="M731" s="602">
        <v>5</v>
      </c>
      <c r="N731" s="570"/>
      <c r="O731" s="571"/>
      <c r="P731" s="571"/>
      <c r="Q731" s="571"/>
      <c r="R731" s="571"/>
      <c r="S731" s="566">
        <f t="shared" si="343"/>
        <v>10.5</v>
      </c>
    </row>
    <row r="732" spans="1:19" s="77" customFormat="1" x14ac:dyDescent="0.25">
      <c r="A732" s="267" t="s">
        <v>131</v>
      </c>
      <c r="B732" s="497" t="s">
        <v>76</v>
      </c>
      <c r="C732" s="496" t="s">
        <v>31</v>
      </c>
      <c r="D732" s="497" t="s">
        <v>31</v>
      </c>
      <c r="E732" s="285" t="s">
        <v>446</v>
      </c>
      <c r="F732" s="497" t="s">
        <v>9</v>
      </c>
      <c r="G732" s="283">
        <f t="shared" ref="G732:R732" si="352">G733</f>
        <v>0</v>
      </c>
      <c r="H732" s="304">
        <f t="shared" si="352"/>
        <v>7.5</v>
      </c>
      <c r="I732" s="283">
        <f t="shared" si="352"/>
        <v>0</v>
      </c>
      <c r="J732" s="283">
        <f t="shared" si="352"/>
        <v>46</v>
      </c>
      <c r="K732" s="283">
        <f t="shared" si="352"/>
        <v>0</v>
      </c>
      <c r="L732" s="283">
        <f t="shared" si="352"/>
        <v>0</v>
      </c>
      <c r="M732" s="568">
        <f t="shared" si="352"/>
        <v>20</v>
      </c>
      <c r="N732" s="568">
        <f t="shared" si="352"/>
        <v>15</v>
      </c>
      <c r="O732" s="569">
        <f t="shared" si="352"/>
        <v>0</v>
      </c>
      <c r="P732" s="569">
        <f t="shared" si="352"/>
        <v>0</v>
      </c>
      <c r="Q732" s="569">
        <f t="shared" si="352"/>
        <v>0</v>
      </c>
      <c r="R732" s="569">
        <f t="shared" si="352"/>
        <v>0</v>
      </c>
      <c r="S732" s="132">
        <f t="shared" si="343"/>
        <v>88.5</v>
      </c>
    </row>
    <row r="733" spans="1:19" s="80" customFormat="1" ht="31.5" x14ac:dyDescent="0.25">
      <c r="A733" s="264" t="s">
        <v>124</v>
      </c>
      <c r="B733" s="380" t="s">
        <v>76</v>
      </c>
      <c r="C733" s="488" t="s">
        <v>31</v>
      </c>
      <c r="D733" s="380" t="s">
        <v>31</v>
      </c>
      <c r="E733" s="265" t="s">
        <v>446</v>
      </c>
      <c r="F733" s="380" t="s">
        <v>117</v>
      </c>
      <c r="G733" s="282"/>
      <c r="H733" s="303">
        <f>2.5+5</f>
        <v>7.5</v>
      </c>
      <c r="I733" s="265"/>
      <c r="J733" s="265">
        <f>20+26</f>
        <v>46</v>
      </c>
      <c r="K733" s="265"/>
      <c r="L733" s="265"/>
      <c r="M733" s="602">
        <v>20</v>
      </c>
      <c r="N733" s="570">
        <v>15</v>
      </c>
      <c r="O733" s="571"/>
      <c r="P733" s="571"/>
      <c r="Q733" s="571"/>
      <c r="R733" s="571"/>
      <c r="S733" s="566">
        <f t="shared" si="343"/>
        <v>88.5</v>
      </c>
    </row>
    <row r="734" spans="1:19" s="77" customFormat="1" x14ac:dyDescent="0.25">
      <c r="A734" s="264" t="s">
        <v>11</v>
      </c>
      <c r="B734" s="380" t="s">
        <v>76</v>
      </c>
      <c r="C734" s="488" t="s">
        <v>12</v>
      </c>
      <c r="D734" s="380" t="s">
        <v>10</v>
      </c>
      <c r="E734" s="265" t="s">
        <v>365</v>
      </c>
      <c r="F734" s="380" t="s">
        <v>9</v>
      </c>
      <c r="G734" s="282">
        <f t="shared" ref="G734:R735" si="353">G735</f>
        <v>5128.8999999999996</v>
      </c>
      <c r="H734" s="303">
        <f t="shared" si="353"/>
        <v>52026.299999999996</v>
      </c>
      <c r="I734" s="282">
        <f t="shared" si="353"/>
        <v>0</v>
      </c>
      <c r="J734" s="282">
        <f t="shared" si="353"/>
        <v>2</v>
      </c>
      <c r="K734" s="282">
        <f t="shared" si="353"/>
        <v>3073.8890000000001</v>
      </c>
      <c r="L734" s="282">
        <f t="shared" si="353"/>
        <v>12</v>
      </c>
      <c r="M734" s="566">
        <f t="shared" si="353"/>
        <v>320.2</v>
      </c>
      <c r="N734" s="566">
        <f t="shared" si="353"/>
        <v>482.49199999999996</v>
      </c>
      <c r="O734" s="567">
        <f t="shared" si="353"/>
        <v>0</v>
      </c>
      <c r="P734" s="567">
        <f t="shared" si="353"/>
        <v>0</v>
      </c>
      <c r="Q734" s="567">
        <f t="shared" si="353"/>
        <v>0</v>
      </c>
      <c r="R734" s="567">
        <f t="shared" si="353"/>
        <v>0</v>
      </c>
      <c r="S734" s="131">
        <f t="shared" si="343"/>
        <v>61045.780999999995</v>
      </c>
    </row>
    <row r="735" spans="1:19" s="80" customFormat="1" x14ac:dyDescent="0.25">
      <c r="A735" s="267" t="s">
        <v>13</v>
      </c>
      <c r="B735" s="497" t="s">
        <v>76</v>
      </c>
      <c r="C735" s="496" t="s">
        <v>12</v>
      </c>
      <c r="D735" s="497" t="s">
        <v>14</v>
      </c>
      <c r="E735" s="285" t="s">
        <v>365</v>
      </c>
      <c r="F735" s="497" t="s">
        <v>9</v>
      </c>
      <c r="G735" s="283">
        <f t="shared" si="353"/>
        <v>5128.8999999999996</v>
      </c>
      <c r="H735" s="304">
        <f t="shared" si="353"/>
        <v>52026.299999999996</v>
      </c>
      <c r="I735" s="283">
        <f t="shared" si="353"/>
        <v>0</v>
      </c>
      <c r="J735" s="283">
        <f t="shared" si="353"/>
        <v>2</v>
      </c>
      <c r="K735" s="283">
        <f t="shared" si="353"/>
        <v>3073.8890000000001</v>
      </c>
      <c r="L735" s="283">
        <f t="shared" si="353"/>
        <v>12</v>
      </c>
      <c r="M735" s="568">
        <f t="shared" si="353"/>
        <v>320.2</v>
      </c>
      <c r="N735" s="568">
        <f t="shared" si="353"/>
        <v>482.49199999999996</v>
      </c>
      <c r="O735" s="569">
        <f t="shared" si="353"/>
        <v>0</v>
      </c>
      <c r="P735" s="569">
        <f t="shared" si="353"/>
        <v>0</v>
      </c>
      <c r="Q735" s="569">
        <f t="shared" si="353"/>
        <v>0</v>
      </c>
      <c r="R735" s="569">
        <f t="shared" si="353"/>
        <v>0</v>
      </c>
      <c r="S735" s="132">
        <f t="shared" si="343"/>
        <v>61045.780999999995</v>
      </c>
    </row>
    <row r="736" spans="1:19" s="80" customFormat="1" ht="31.5" x14ac:dyDescent="0.25">
      <c r="A736" s="267" t="s">
        <v>784</v>
      </c>
      <c r="B736" s="497" t="s">
        <v>76</v>
      </c>
      <c r="C736" s="496" t="s">
        <v>12</v>
      </c>
      <c r="D736" s="497" t="s">
        <v>14</v>
      </c>
      <c r="E736" s="285" t="s">
        <v>380</v>
      </c>
      <c r="F736" s="497" t="s">
        <v>9</v>
      </c>
      <c r="G736" s="283">
        <f t="shared" ref="G736:N736" si="354">G740</f>
        <v>5128.8999999999996</v>
      </c>
      <c r="H736" s="304">
        <f t="shared" si="354"/>
        <v>52026.299999999996</v>
      </c>
      <c r="I736" s="283">
        <f t="shared" si="354"/>
        <v>0</v>
      </c>
      <c r="J736" s="283">
        <f t="shared" si="354"/>
        <v>2</v>
      </c>
      <c r="K736" s="283">
        <f t="shared" si="354"/>
        <v>3073.8890000000001</v>
      </c>
      <c r="L736" s="283">
        <f t="shared" si="354"/>
        <v>12</v>
      </c>
      <c r="M736" s="568">
        <f t="shared" si="354"/>
        <v>320.2</v>
      </c>
      <c r="N736" s="568">
        <f t="shared" si="354"/>
        <v>482.49199999999996</v>
      </c>
      <c r="O736" s="569">
        <f>O740+O737</f>
        <v>0</v>
      </c>
      <c r="P736" s="569">
        <f>P740</f>
        <v>0</v>
      </c>
      <c r="Q736" s="569">
        <f>Q740</f>
        <v>0</v>
      </c>
      <c r="R736" s="569">
        <f>R740</f>
        <v>0</v>
      </c>
      <c r="S736" s="132">
        <f t="shared" si="343"/>
        <v>61045.780999999995</v>
      </c>
    </row>
    <row r="737" spans="1:19" s="80" customFormat="1" ht="15.6" hidden="1" x14ac:dyDescent="0.3">
      <c r="A737" s="267" t="s">
        <v>692</v>
      </c>
      <c r="B737" s="497" t="s">
        <v>22</v>
      </c>
      <c r="C737" s="496" t="s">
        <v>12</v>
      </c>
      <c r="D737" s="497" t="s">
        <v>14</v>
      </c>
      <c r="E737" s="285" t="s">
        <v>381</v>
      </c>
      <c r="F737" s="497" t="s">
        <v>9</v>
      </c>
      <c r="G737" s="283"/>
      <c r="H737" s="283"/>
      <c r="I737" s="283"/>
      <c r="J737" s="283"/>
      <c r="K737" s="283"/>
      <c r="L737" s="283"/>
      <c r="M737" s="568"/>
      <c r="N737" s="568"/>
      <c r="O737" s="569">
        <f>O738</f>
        <v>0</v>
      </c>
      <c r="P737" s="569"/>
      <c r="Q737" s="569"/>
      <c r="R737" s="569"/>
      <c r="S737" s="132">
        <f t="shared" si="343"/>
        <v>0</v>
      </c>
    </row>
    <row r="738" spans="1:19" s="80" customFormat="1" ht="15.6" hidden="1" x14ac:dyDescent="0.3">
      <c r="A738" s="267" t="s">
        <v>133</v>
      </c>
      <c r="B738" s="497" t="s">
        <v>76</v>
      </c>
      <c r="C738" s="496" t="s">
        <v>12</v>
      </c>
      <c r="D738" s="497" t="s">
        <v>14</v>
      </c>
      <c r="E738" s="285" t="s">
        <v>382</v>
      </c>
      <c r="F738" s="497" t="s">
        <v>9</v>
      </c>
      <c r="G738" s="283"/>
      <c r="H738" s="304"/>
      <c r="I738" s="283"/>
      <c r="J738" s="283"/>
      <c r="K738" s="283"/>
      <c r="L738" s="283"/>
      <c r="M738" s="568"/>
      <c r="N738" s="568"/>
      <c r="O738" s="569">
        <f>O739</f>
        <v>0</v>
      </c>
      <c r="P738" s="569"/>
      <c r="Q738" s="569"/>
      <c r="R738" s="569"/>
      <c r="S738" s="132">
        <f t="shared" si="343"/>
        <v>0</v>
      </c>
    </row>
    <row r="739" spans="1:19" s="80" customFormat="1" ht="62.45" hidden="1" x14ac:dyDescent="0.3">
      <c r="A739" s="264" t="s">
        <v>115</v>
      </c>
      <c r="B739" s="380" t="s">
        <v>76</v>
      </c>
      <c r="C739" s="488" t="s">
        <v>12</v>
      </c>
      <c r="D739" s="380" t="s">
        <v>14</v>
      </c>
      <c r="E739" s="265" t="s">
        <v>382</v>
      </c>
      <c r="F739" s="380" t="s">
        <v>113</v>
      </c>
      <c r="G739" s="283"/>
      <c r="H739" s="304"/>
      <c r="I739" s="283"/>
      <c r="J739" s="283"/>
      <c r="K739" s="283"/>
      <c r="L739" s="283"/>
      <c r="M739" s="568"/>
      <c r="N739" s="568"/>
      <c r="O739" s="131"/>
      <c r="P739" s="131"/>
      <c r="Q739" s="131"/>
      <c r="R739" s="131"/>
      <c r="S739" s="131">
        <f t="shared" si="343"/>
        <v>0</v>
      </c>
    </row>
    <row r="740" spans="1:19" s="77" customFormat="1" x14ac:dyDescent="0.25">
      <c r="A740" s="267" t="s">
        <v>15</v>
      </c>
      <c r="B740" s="497" t="s">
        <v>76</v>
      </c>
      <c r="C740" s="496" t="s">
        <v>12</v>
      </c>
      <c r="D740" s="497" t="s">
        <v>14</v>
      </c>
      <c r="E740" s="285" t="s">
        <v>433</v>
      </c>
      <c r="F740" s="497" t="s">
        <v>9</v>
      </c>
      <c r="G740" s="283">
        <f t="shared" ref="G740:R740" si="355">G755+G748+G757+G768+G741+G771+G773+G751</f>
        <v>5128.8999999999996</v>
      </c>
      <c r="H740" s="304">
        <f t="shared" si="355"/>
        <v>52026.299999999996</v>
      </c>
      <c r="I740" s="283">
        <f t="shared" si="355"/>
        <v>0</v>
      </c>
      <c r="J740" s="283">
        <f t="shared" si="355"/>
        <v>2</v>
      </c>
      <c r="K740" s="283">
        <f t="shared" si="355"/>
        <v>3073.8890000000001</v>
      </c>
      <c r="L740" s="283">
        <f t="shared" si="355"/>
        <v>12</v>
      </c>
      <c r="M740" s="568">
        <f t="shared" si="355"/>
        <v>320.2</v>
      </c>
      <c r="N740" s="568">
        <f t="shared" si="355"/>
        <v>482.49199999999996</v>
      </c>
      <c r="O740" s="132">
        <f t="shared" si="355"/>
        <v>0</v>
      </c>
      <c r="P740" s="132">
        <f t="shared" si="355"/>
        <v>0</v>
      </c>
      <c r="Q740" s="132">
        <f t="shared" si="355"/>
        <v>0</v>
      </c>
      <c r="R740" s="132">
        <f t="shared" si="355"/>
        <v>0</v>
      </c>
      <c r="S740" s="132">
        <f t="shared" si="343"/>
        <v>61045.780999999995</v>
      </c>
    </row>
    <row r="741" spans="1:19" s="80" customFormat="1" ht="46.9" hidden="1" x14ac:dyDescent="0.3">
      <c r="A741" s="267" t="s">
        <v>41</v>
      </c>
      <c r="B741" s="497" t="s">
        <v>76</v>
      </c>
      <c r="C741" s="496" t="s">
        <v>12</v>
      </c>
      <c r="D741" s="497" t="s">
        <v>14</v>
      </c>
      <c r="E741" s="285" t="s">
        <v>504</v>
      </c>
      <c r="F741" s="497" t="s">
        <v>9</v>
      </c>
      <c r="G741" s="283">
        <f t="shared" ref="G741:R741" si="356">G742+G744</f>
        <v>0</v>
      </c>
      <c r="H741" s="304">
        <f t="shared" si="356"/>
        <v>0</v>
      </c>
      <c r="I741" s="283">
        <f t="shared" si="356"/>
        <v>0</v>
      </c>
      <c r="J741" s="283">
        <f t="shared" si="356"/>
        <v>0</v>
      </c>
      <c r="K741" s="283">
        <f t="shared" si="356"/>
        <v>0</v>
      </c>
      <c r="L741" s="283">
        <f t="shared" si="356"/>
        <v>0</v>
      </c>
      <c r="M741" s="568">
        <f t="shared" si="356"/>
        <v>0</v>
      </c>
      <c r="N741" s="568">
        <f t="shared" si="356"/>
        <v>0</v>
      </c>
      <c r="O741" s="569">
        <f t="shared" si="356"/>
        <v>0</v>
      </c>
      <c r="P741" s="569">
        <f t="shared" si="356"/>
        <v>0</v>
      </c>
      <c r="Q741" s="569">
        <f t="shared" si="356"/>
        <v>0</v>
      </c>
      <c r="R741" s="569">
        <f t="shared" si="356"/>
        <v>0</v>
      </c>
      <c r="S741" s="132">
        <f t="shared" si="343"/>
        <v>0</v>
      </c>
    </row>
    <row r="742" spans="1:19" s="77" customFormat="1" ht="31.15" hidden="1" x14ac:dyDescent="0.3">
      <c r="A742" s="267" t="s">
        <v>464</v>
      </c>
      <c r="B742" s="497" t="s">
        <v>76</v>
      </c>
      <c r="C742" s="496" t="s">
        <v>12</v>
      </c>
      <c r="D742" s="497" t="s">
        <v>14</v>
      </c>
      <c r="E742" s="285" t="s">
        <v>505</v>
      </c>
      <c r="F742" s="497" t="s">
        <v>9</v>
      </c>
      <c r="G742" s="283">
        <f t="shared" ref="G742:R742" si="357">G743</f>
        <v>0</v>
      </c>
      <c r="H742" s="304">
        <f t="shared" si="357"/>
        <v>0</v>
      </c>
      <c r="I742" s="283">
        <f t="shared" si="357"/>
        <v>0</v>
      </c>
      <c r="J742" s="283">
        <f t="shared" si="357"/>
        <v>0</v>
      </c>
      <c r="K742" s="283">
        <f t="shared" si="357"/>
        <v>0</v>
      </c>
      <c r="L742" s="283">
        <f t="shared" si="357"/>
        <v>0</v>
      </c>
      <c r="M742" s="568">
        <f t="shared" si="357"/>
        <v>0</v>
      </c>
      <c r="N742" s="568">
        <f t="shared" si="357"/>
        <v>0</v>
      </c>
      <c r="O742" s="569">
        <f t="shared" si="357"/>
        <v>0</v>
      </c>
      <c r="P742" s="569">
        <f t="shared" si="357"/>
        <v>0</v>
      </c>
      <c r="Q742" s="569">
        <f t="shared" si="357"/>
        <v>0</v>
      </c>
      <c r="R742" s="569">
        <f t="shared" si="357"/>
        <v>0</v>
      </c>
      <c r="S742" s="132">
        <f t="shared" si="343"/>
        <v>0</v>
      </c>
    </row>
    <row r="743" spans="1:19" s="80" customFormat="1" ht="31.15" hidden="1" x14ac:dyDescent="0.3">
      <c r="A743" s="264" t="s">
        <v>843</v>
      </c>
      <c r="B743" s="380" t="s">
        <v>76</v>
      </c>
      <c r="C743" s="488" t="s">
        <v>12</v>
      </c>
      <c r="D743" s="380" t="s">
        <v>14</v>
      </c>
      <c r="E743" s="265" t="s">
        <v>505</v>
      </c>
      <c r="F743" s="380" t="s">
        <v>490</v>
      </c>
      <c r="G743" s="282"/>
      <c r="H743" s="303"/>
      <c r="I743" s="265"/>
      <c r="J743" s="265"/>
      <c r="K743" s="265"/>
      <c r="L743" s="265"/>
      <c r="M743" s="570"/>
      <c r="N743" s="570"/>
      <c r="O743" s="571"/>
      <c r="P743" s="571"/>
      <c r="Q743" s="571"/>
      <c r="R743" s="571"/>
      <c r="S743" s="131">
        <f t="shared" si="343"/>
        <v>0</v>
      </c>
    </row>
    <row r="744" spans="1:19" s="80" customFormat="1" ht="15.6" hidden="1" x14ac:dyDescent="0.3">
      <c r="A744" s="267" t="s">
        <v>1058</v>
      </c>
      <c r="B744" s="497" t="s">
        <v>76</v>
      </c>
      <c r="C744" s="496" t="s">
        <v>12</v>
      </c>
      <c r="D744" s="497" t="s">
        <v>14</v>
      </c>
      <c r="E744" s="285" t="s">
        <v>1059</v>
      </c>
      <c r="F744" s="497" t="s">
        <v>9</v>
      </c>
      <c r="G744" s="283">
        <f t="shared" ref="G744:R744" si="358">G745</f>
        <v>0</v>
      </c>
      <c r="H744" s="304">
        <f t="shared" si="358"/>
        <v>0</v>
      </c>
      <c r="I744" s="283">
        <f t="shared" si="358"/>
        <v>0</v>
      </c>
      <c r="J744" s="283">
        <f t="shared" si="358"/>
        <v>0</v>
      </c>
      <c r="K744" s="283">
        <f t="shared" si="358"/>
        <v>0</v>
      </c>
      <c r="L744" s="283">
        <f t="shared" si="358"/>
        <v>0</v>
      </c>
      <c r="M744" s="568">
        <f t="shared" si="358"/>
        <v>0</v>
      </c>
      <c r="N744" s="568">
        <f t="shared" si="358"/>
        <v>0</v>
      </c>
      <c r="O744" s="569">
        <f t="shared" si="358"/>
        <v>0</v>
      </c>
      <c r="P744" s="569">
        <f t="shared" si="358"/>
        <v>0</v>
      </c>
      <c r="Q744" s="569">
        <f t="shared" si="358"/>
        <v>0</v>
      </c>
      <c r="R744" s="569">
        <f t="shared" si="358"/>
        <v>0</v>
      </c>
      <c r="S744" s="132">
        <f t="shared" si="343"/>
        <v>0</v>
      </c>
    </row>
    <row r="745" spans="1:19" s="80" customFormat="1" ht="31.15" hidden="1" x14ac:dyDescent="0.3">
      <c r="A745" s="264" t="s">
        <v>843</v>
      </c>
      <c r="B745" s="380" t="s">
        <v>76</v>
      </c>
      <c r="C745" s="488" t="s">
        <v>12</v>
      </c>
      <c r="D745" s="380" t="s">
        <v>14</v>
      </c>
      <c r="E745" s="265" t="s">
        <v>1059</v>
      </c>
      <c r="F745" s="380" t="s">
        <v>490</v>
      </c>
      <c r="G745" s="282"/>
      <c r="H745" s="303"/>
      <c r="I745" s="265"/>
      <c r="J745" s="265"/>
      <c r="K745" s="265"/>
      <c r="L745" s="265"/>
      <c r="M745" s="570"/>
      <c r="N745" s="570"/>
      <c r="O745" s="571"/>
      <c r="P745" s="571"/>
      <c r="Q745" s="571"/>
      <c r="R745" s="571"/>
      <c r="S745" s="131">
        <f t="shared" si="343"/>
        <v>0</v>
      </c>
    </row>
    <row r="746" spans="1:19" s="80" customFormat="1" ht="15.6" hidden="1" x14ac:dyDescent="0.3">
      <c r="A746" s="267" t="s">
        <v>1058</v>
      </c>
      <c r="B746" s="497" t="s">
        <v>76</v>
      </c>
      <c r="C746" s="496" t="s">
        <v>12</v>
      </c>
      <c r="D746" s="497" t="s">
        <v>14</v>
      </c>
      <c r="E746" s="285" t="s">
        <v>1060</v>
      </c>
      <c r="F746" s="497" t="s">
        <v>9</v>
      </c>
      <c r="G746" s="283">
        <f>G747</f>
        <v>0</v>
      </c>
      <c r="H746" s="304"/>
      <c r="I746" s="285"/>
      <c r="J746" s="285"/>
      <c r="K746" s="285"/>
      <c r="L746" s="285"/>
      <c r="M746" s="576"/>
      <c r="N746" s="576"/>
      <c r="O746" s="574">
        <f>O747</f>
        <v>0</v>
      </c>
      <c r="P746" s="574"/>
      <c r="Q746" s="574"/>
      <c r="R746" s="574"/>
      <c r="S746" s="132">
        <f t="shared" si="343"/>
        <v>0</v>
      </c>
    </row>
    <row r="747" spans="1:19" s="80" customFormat="1" ht="31.15" hidden="1" x14ac:dyDescent="0.3">
      <c r="A747" s="264" t="s">
        <v>843</v>
      </c>
      <c r="B747" s="380" t="s">
        <v>76</v>
      </c>
      <c r="C747" s="488" t="s">
        <v>12</v>
      </c>
      <c r="D747" s="380" t="s">
        <v>14</v>
      </c>
      <c r="E747" s="265" t="s">
        <v>1060</v>
      </c>
      <c r="F747" s="380" t="s">
        <v>490</v>
      </c>
      <c r="G747" s="282"/>
      <c r="H747" s="303"/>
      <c r="I747" s="265"/>
      <c r="J747" s="265"/>
      <c r="K747" s="265"/>
      <c r="L747" s="265"/>
      <c r="M747" s="570"/>
      <c r="N747" s="570"/>
      <c r="O747" s="571"/>
      <c r="P747" s="571"/>
      <c r="Q747" s="571"/>
      <c r="R747" s="571"/>
      <c r="S747" s="131">
        <f t="shared" si="343"/>
        <v>0</v>
      </c>
    </row>
    <row r="748" spans="1:19" s="77" customFormat="1" x14ac:dyDescent="0.25">
      <c r="A748" s="267" t="s">
        <v>127</v>
      </c>
      <c r="B748" s="497" t="s">
        <v>76</v>
      </c>
      <c r="C748" s="496" t="s">
        <v>12</v>
      </c>
      <c r="D748" s="497" t="s">
        <v>14</v>
      </c>
      <c r="E748" s="285" t="s">
        <v>447</v>
      </c>
      <c r="F748" s="497" t="s">
        <v>9</v>
      </c>
      <c r="G748" s="283">
        <f t="shared" ref="G748:R749" si="359">G749</f>
        <v>0</v>
      </c>
      <c r="H748" s="304">
        <f t="shared" si="359"/>
        <v>3433.6</v>
      </c>
      <c r="I748" s="283">
        <f t="shared" si="359"/>
        <v>0</v>
      </c>
      <c r="J748" s="283">
        <f t="shared" si="359"/>
        <v>0</v>
      </c>
      <c r="K748" s="283">
        <f t="shared" si="359"/>
        <v>0</v>
      </c>
      <c r="L748" s="283">
        <f t="shared" si="359"/>
        <v>0</v>
      </c>
      <c r="M748" s="568">
        <f t="shared" si="359"/>
        <v>0</v>
      </c>
      <c r="N748" s="568">
        <f t="shared" si="359"/>
        <v>0</v>
      </c>
      <c r="O748" s="569">
        <f t="shared" si="359"/>
        <v>0</v>
      </c>
      <c r="P748" s="569">
        <f t="shared" si="359"/>
        <v>0</v>
      </c>
      <c r="Q748" s="569">
        <f t="shared" si="359"/>
        <v>0</v>
      </c>
      <c r="R748" s="569">
        <f t="shared" si="359"/>
        <v>0</v>
      </c>
      <c r="S748" s="132">
        <f t="shared" si="343"/>
        <v>3433.6</v>
      </c>
    </row>
    <row r="749" spans="1:19" s="77" customFormat="1" ht="31.5" x14ac:dyDescent="0.25">
      <c r="A749" s="267" t="s">
        <v>364</v>
      </c>
      <c r="B749" s="497" t="s">
        <v>76</v>
      </c>
      <c r="C749" s="496" t="s">
        <v>12</v>
      </c>
      <c r="D749" s="497" t="s">
        <v>14</v>
      </c>
      <c r="E749" s="285" t="s">
        <v>448</v>
      </c>
      <c r="F749" s="497" t="s">
        <v>9</v>
      </c>
      <c r="G749" s="283">
        <f t="shared" si="359"/>
        <v>0</v>
      </c>
      <c r="H749" s="304">
        <f t="shared" si="359"/>
        <v>3433.6</v>
      </c>
      <c r="I749" s="283">
        <f t="shared" si="359"/>
        <v>0</v>
      </c>
      <c r="J749" s="283">
        <f t="shared" si="359"/>
        <v>0</v>
      </c>
      <c r="K749" s="283">
        <f t="shared" si="359"/>
        <v>0</v>
      </c>
      <c r="L749" s="283">
        <f t="shared" si="359"/>
        <v>0</v>
      </c>
      <c r="M749" s="568">
        <f t="shared" si="359"/>
        <v>0</v>
      </c>
      <c r="N749" s="568">
        <f t="shared" si="359"/>
        <v>0</v>
      </c>
      <c r="O749" s="569">
        <f t="shared" si="359"/>
        <v>0</v>
      </c>
      <c r="P749" s="569">
        <f t="shared" si="359"/>
        <v>0</v>
      </c>
      <c r="Q749" s="569">
        <f t="shared" si="359"/>
        <v>0</v>
      </c>
      <c r="R749" s="569">
        <f t="shared" si="359"/>
        <v>0</v>
      </c>
      <c r="S749" s="132">
        <f t="shared" si="343"/>
        <v>3433.6</v>
      </c>
    </row>
    <row r="750" spans="1:19" s="77" customFormat="1" ht="63" x14ac:dyDescent="0.25">
      <c r="A750" s="495" t="s">
        <v>115</v>
      </c>
      <c r="B750" s="380" t="s">
        <v>76</v>
      </c>
      <c r="C750" s="488" t="s">
        <v>12</v>
      </c>
      <c r="D750" s="380" t="s">
        <v>14</v>
      </c>
      <c r="E750" s="265" t="s">
        <v>448</v>
      </c>
      <c r="F750" s="380" t="s">
        <v>113</v>
      </c>
      <c r="G750" s="282"/>
      <c r="H750" s="303">
        <v>3433.6</v>
      </c>
      <c r="I750" s="265"/>
      <c r="J750" s="265"/>
      <c r="K750" s="265"/>
      <c r="L750" s="265"/>
      <c r="M750" s="570"/>
      <c r="N750" s="570"/>
      <c r="O750" s="571"/>
      <c r="P750" s="571"/>
      <c r="Q750" s="571"/>
      <c r="R750" s="571"/>
      <c r="S750" s="566">
        <f t="shared" si="343"/>
        <v>3433.6</v>
      </c>
    </row>
    <row r="751" spans="1:19" s="77" customFormat="1" x14ac:dyDescent="0.25">
      <c r="A751" s="288" t="s">
        <v>1102</v>
      </c>
      <c r="B751" s="497" t="s">
        <v>76</v>
      </c>
      <c r="C751" s="496" t="s">
        <v>12</v>
      </c>
      <c r="D751" s="497" t="s">
        <v>14</v>
      </c>
      <c r="E751" s="285" t="s">
        <v>1103</v>
      </c>
      <c r="F751" s="497" t="s">
        <v>9</v>
      </c>
      <c r="G751" s="283">
        <f t="shared" ref="G751:R753" si="360">G752</f>
        <v>5000</v>
      </c>
      <c r="H751" s="304">
        <f t="shared" si="360"/>
        <v>0</v>
      </c>
      <c r="I751" s="283">
        <f t="shared" si="360"/>
        <v>0</v>
      </c>
      <c r="J751" s="283">
        <f t="shared" si="360"/>
        <v>0</v>
      </c>
      <c r="K751" s="283">
        <f t="shared" si="360"/>
        <v>0</v>
      </c>
      <c r="L751" s="283">
        <f t="shared" si="360"/>
        <v>0</v>
      </c>
      <c r="M751" s="568">
        <f t="shared" si="360"/>
        <v>0</v>
      </c>
      <c r="N751" s="568">
        <f t="shared" si="360"/>
        <v>0</v>
      </c>
      <c r="O751" s="132">
        <f t="shared" si="360"/>
        <v>0</v>
      </c>
      <c r="P751" s="132">
        <f t="shared" si="360"/>
        <v>0</v>
      </c>
      <c r="Q751" s="132">
        <f t="shared" si="360"/>
        <v>0</v>
      </c>
      <c r="R751" s="132">
        <f t="shared" si="360"/>
        <v>0</v>
      </c>
      <c r="S751" s="132">
        <f t="shared" si="343"/>
        <v>5000</v>
      </c>
    </row>
    <row r="752" spans="1:19" s="77" customFormat="1" x14ac:dyDescent="0.25">
      <c r="A752" s="288" t="s">
        <v>1105</v>
      </c>
      <c r="B752" s="497" t="s">
        <v>76</v>
      </c>
      <c r="C752" s="496" t="s">
        <v>12</v>
      </c>
      <c r="D752" s="497" t="s">
        <v>14</v>
      </c>
      <c r="E752" s="285" t="s">
        <v>1104</v>
      </c>
      <c r="F752" s="497" t="s">
        <v>9</v>
      </c>
      <c r="G752" s="283">
        <f t="shared" si="360"/>
        <v>5000</v>
      </c>
      <c r="H752" s="304">
        <f t="shared" si="360"/>
        <v>0</v>
      </c>
      <c r="I752" s="283">
        <f t="shared" si="360"/>
        <v>0</v>
      </c>
      <c r="J752" s="283">
        <f t="shared" si="360"/>
        <v>0</v>
      </c>
      <c r="K752" s="283">
        <f t="shared" si="360"/>
        <v>0</v>
      </c>
      <c r="L752" s="283">
        <f t="shared" si="360"/>
        <v>0</v>
      </c>
      <c r="M752" s="568">
        <f t="shared" si="360"/>
        <v>0</v>
      </c>
      <c r="N752" s="568">
        <f t="shared" si="360"/>
        <v>0</v>
      </c>
      <c r="O752" s="132">
        <f t="shared" si="360"/>
        <v>0</v>
      </c>
      <c r="P752" s="132">
        <f t="shared" si="360"/>
        <v>0</v>
      </c>
      <c r="Q752" s="132">
        <f t="shared" si="360"/>
        <v>0</v>
      </c>
      <c r="R752" s="132">
        <f t="shared" si="360"/>
        <v>0</v>
      </c>
      <c r="S752" s="132">
        <f t="shared" si="343"/>
        <v>5000</v>
      </c>
    </row>
    <row r="753" spans="1:19" s="77" customFormat="1" x14ac:dyDescent="0.25">
      <c r="A753" s="288" t="s">
        <v>1107</v>
      </c>
      <c r="B753" s="497" t="s">
        <v>76</v>
      </c>
      <c r="C753" s="496" t="s">
        <v>12</v>
      </c>
      <c r="D753" s="497" t="s">
        <v>14</v>
      </c>
      <c r="E753" s="285" t="s">
        <v>1106</v>
      </c>
      <c r="F753" s="497" t="s">
        <v>9</v>
      </c>
      <c r="G753" s="283">
        <f t="shared" si="360"/>
        <v>5000</v>
      </c>
      <c r="H753" s="304">
        <f t="shared" si="360"/>
        <v>0</v>
      </c>
      <c r="I753" s="283">
        <f t="shared" si="360"/>
        <v>0</v>
      </c>
      <c r="J753" s="283">
        <f t="shared" si="360"/>
        <v>0</v>
      </c>
      <c r="K753" s="283">
        <f t="shared" si="360"/>
        <v>0</v>
      </c>
      <c r="L753" s="283">
        <f t="shared" si="360"/>
        <v>0</v>
      </c>
      <c r="M753" s="568">
        <f t="shared" si="360"/>
        <v>0</v>
      </c>
      <c r="N753" s="568">
        <f t="shared" si="360"/>
        <v>0</v>
      </c>
      <c r="O753" s="132">
        <f t="shared" si="360"/>
        <v>0</v>
      </c>
      <c r="P753" s="132">
        <f t="shared" si="360"/>
        <v>0</v>
      </c>
      <c r="Q753" s="132">
        <f t="shared" si="360"/>
        <v>0</v>
      </c>
      <c r="R753" s="132">
        <f t="shared" si="360"/>
        <v>0</v>
      </c>
      <c r="S753" s="132">
        <f t="shared" si="343"/>
        <v>5000</v>
      </c>
    </row>
    <row r="754" spans="1:19" s="77" customFormat="1" ht="31.5" x14ac:dyDescent="0.25">
      <c r="A754" s="495" t="s">
        <v>124</v>
      </c>
      <c r="B754" s="380" t="s">
        <v>76</v>
      </c>
      <c r="C754" s="488" t="s">
        <v>12</v>
      </c>
      <c r="D754" s="380" t="s">
        <v>14</v>
      </c>
      <c r="E754" s="265" t="s">
        <v>1106</v>
      </c>
      <c r="F754" s="380" t="s">
        <v>117</v>
      </c>
      <c r="G754" s="300">
        <v>5000</v>
      </c>
      <c r="H754" s="303"/>
      <c r="I754" s="265"/>
      <c r="J754" s="265"/>
      <c r="K754" s="265"/>
      <c r="L754" s="265"/>
      <c r="M754" s="570"/>
      <c r="N754" s="570"/>
      <c r="O754" s="571"/>
      <c r="P754" s="571"/>
      <c r="Q754" s="571"/>
      <c r="R754" s="571"/>
      <c r="S754" s="566">
        <f t="shared" si="343"/>
        <v>5000</v>
      </c>
    </row>
    <row r="755" spans="1:19" s="77" customFormat="1" ht="47.25" x14ac:dyDescent="0.25">
      <c r="A755" s="267" t="s">
        <v>94</v>
      </c>
      <c r="B755" s="497" t="s">
        <v>76</v>
      </c>
      <c r="C755" s="496" t="s">
        <v>12</v>
      </c>
      <c r="D755" s="497" t="s">
        <v>14</v>
      </c>
      <c r="E755" s="285" t="s">
        <v>449</v>
      </c>
      <c r="F755" s="497" t="s">
        <v>9</v>
      </c>
      <c r="G755" s="283">
        <f t="shared" ref="G755:R755" si="361">G756</f>
        <v>0</v>
      </c>
      <c r="H755" s="304">
        <f t="shared" si="361"/>
        <v>15</v>
      </c>
      <c r="I755" s="283">
        <f t="shared" si="361"/>
        <v>0</v>
      </c>
      <c r="J755" s="283">
        <f t="shared" si="361"/>
        <v>20</v>
      </c>
      <c r="K755" s="283">
        <f t="shared" si="361"/>
        <v>0</v>
      </c>
      <c r="L755" s="283">
        <f t="shared" si="361"/>
        <v>0</v>
      </c>
      <c r="M755" s="568">
        <f t="shared" si="361"/>
        <v>0</v>
      </c>
      <c r="N755" s="568">
        <f t="shared" si="361"/>
        <v>0</v>
      </c>
      <c r="O755" s="569">
        <f t="shared" si="361"/>
        <v>0</v>
      </c>
      <c r="P755" s="569">
        <f t="shared" si="361"/>
        <v>0</v>
      </c>
      <c r="Q755" s="569">
        <f t="shared" si="361"/>
        <v>0</v>
      </c>
      <c r="R755" s="569">
        <f t="shared" si="361"/>
        <v>0</v>
      </c>
      <c r="S755" s="132">
        <f t="shared" si="343"/>
        <v>35</v>
      </c>
    </row>
    <row r="756" spans="1:19" s="77" customFormat="1" ht="31.5" x14ac:dyDescent="0.25">
      <c r="A756" s="264" t="s">
        <v>124</v>
      </c>
      <c r="B756" s="380" t="s">
        <v>76</v>
      </c>
      <c r="C756" s="488" t="s">
        <v>12</v>
      </c>
      <c r="D756" s="380" t="s">
        <v>14</v>
      </c>
      <c r="E756" s="265" t="s">
        <v>449</v>
      </c>
      <c r="F756" s="380" t="s">
        <v>117</v>
      </c>
      <c r="G756" s="282"/>
      <c r="H756" s="361">
        <f>5+10</f>
        <v>15</v>
      </c>
      <c r="I756" s="265"/>
      <c r="J756" s="265">
        <f>15+5</f>
        <v>20</v>
      </c>
      <c r="K756" s="265"/>
      <c r="L756" s="265"/>
      <c r="M756" s="570"/>
      <c r="N756" s="570"/>
      <c r="O756" s="571"/>
      <c r="P756" s="571"/>
      <c r="Q756" s="571"/>
      <c r="R756" s="571"/>
      <c r="S756" s="566">
        <f t="shared" si="343"/>
        <v>35</v>
      </c>
    </row>
    <row r="757" spans="1:19" s="80" customFormat="1" ht="31.5" x14ac:dyDescent="0.25">
      <c r="A757" s="267" t="s">
        <v>205</v>
      </c>
      <c r="B757" s="497" t="s">
        <v>76</v>
      </c>
      <c r="C757" s="496" t="s">
        <v>12</v>
      </c>
      <c r="D757" s="497" t="s">
        <v>14</v>
      </c>
      <c r="E757" s="285" t="s">
        <v>450</v>
      </c>
      <c r="F757" s="497" t="s">
        <v>9</v>
      </c>
      <c r="G757" s="283">
        <f t="shared" ref="G757:R757" si="362">G758+G762+G766+G760</f>
        <v>0</v>
      </c>
      <c r="H757" s="304">
        <f t="shared" si="362"/>
        <v>48577.7</v>
      </c>
      <c r="I757" s="283">
        <f t="shared" si="362"/>
        <v>0</v>
      </c>
      <c r="J757" s="283">
        <f t="shared" si="362"/>
        <v>-18</v>
      </c>
      <c r="K757" s="283">
        <f t="shared" si="362"/>
        <v>3073.9</v>
      </c>
      <c r="L757" s="283">
        <f t="shared" si="362"/>
        <v>12</v>
      </c>
      <c r="M757" s="568">
        <f t="shared" si="362"/>
        <v>320.2</v>
      </c>
      <c r="N757" s="568">
        <f t="shared" si="362"/>
        <v>482.49199999999996</v>
      </c>
      <c r="O757" s="569">
        <f t="shared" si="362"/>
        <v>0</v>
      </c>
      <c r="P757" s="569">
        <f t="shared" si="362"/>
        <v>0</v>
      </c>
      <c r="Q757" s="569">
        <f t="shared" si="362"/>
        <v>0</v>
      </c>
      <c r="R757" s="569">
        <f t="shared" si="362"/>
        <v>0</v>
      </c>
      <c r="S757" s="132">
        <f t="shared" si="343"/>
        <v>52448.291999999994</v>
      </c>
    </row>
    <row r="758" spans="1:19" s="77" customFormat="1" x14ac:dyDescent="0.25">
      <c r="A758" s="267" t="s">
        <v>200</v>
      </c>
      <c r="B758" s="497" t="s">
        <v>76</v>
      </c>
      <c r="C758" s="496" t="s">
        <v>12</v>
      </c>
      <c r="D758" s="497" t="s">
        <v>14</v>
      </c>
      <c r="E758" s="285" t="s">
        <v>451</v>
      </c>
      <c r="F758" s="497" t="s">
        <v>9</v>
      </c>
      <c r="G758" s="283">
        <f t="shared" ref="G758:R758" si="363">G759</f>
        <v>0</v>
      </c>
      <c r="H758" s="304">
        <f t="shared" si="363"/>
        <v>10038.199999999997</v>
      </c>
      <c r="I758" s="283">
        <f t="shared" si="363"/>
        <v>0</v>
      </c>
      <c r="J758" s="283">
        <f t="shared" si="363"/>
        <v>0</v>
      </c>
      <c r="K758" s="283">
        <f t="shared" si="363"/>
        <v>-3562.3</v>
      </c>
      <c r="L758" s="283">
        <f t="shared" si="363"/>
        <v>12</v>
      </c>
      <c r="M758" s="568">
        <f t="shared" si="363"/>
        <v>320.2</v>
      </c>
      <c r="N758" s="568">
        <f t="shared" si="363"/>
        <v>482.49199999999996</v>
      </c>
      <c r="O758" s="569">
        <f t="shared" si="363"/>
        <v>0</v>
      </c>
      <c r="P758" s="569">
        <f t="shared" si="363"/>
        <v>0</v>
      </c>
      <c r="Q758" s="569">
        <f t="shared" si="363"/>
        <v>0</v>
      </c>
      <c r="R758" s="569">
        <f t="shared" si="363"/>
        <v>0</v>
      </c>
      <c r="S758" s="132">
        <f t="shared" si="343"/>
        <v>7290.5919999999969</v>
      </c>
    </row>
    <row r="759" spans="1:19" s="77" customFormat="1" ht="31.5" x14ac:dyDescent="0.25">
      <c r="A759" s="264" t="s">
        <v>843</v>
      </c>
      <c r="B759" s="380" t="s">
        <v>76</v>
      </c>
      <c r="C759" s="488" t="s">
        <v>12</v>
      </c>
      <c r="D759" s="380" t="s">
        <v>14</v>
      </c>
      <c r="E759" s="265" t="s">
        <v>451</v>
      </c>
      <c r="F759" s="380" t="s">
        <v>490</v>
      </c>
      <c r="G759" s="282"/>
      <c r="H759" s="303">
        <f>37936.6-17398.4-10000-500</f>
        <v>10038.199999999997</v>
      </c>
      <c r="I759" s="265"/>
      <c r="J759" s="282"/>
      <c r="K759" s="419">
        <v>-3562.3</v>
      </c>
      <c r="L759" s="265">
        <v>12</v>
      </c>
      <c r="M759" s="602">
        <f>125+195.2</f>
        <v>320.2</v>
      </c>
      <c r="N759" s="570">
        <f>347+135.492</f>
        <v>482.49199999999996</v>
      </c>
      <c r="O759" s="571"/>
      <c r="P759" s="571"/>
      <c r="Q759" s="571"/>
      <c r="R759" s="571"/>
      <c r="S759" s="566">
        <f t="shared" si="343"/>
        <v>7290.5919999999969</v>
      </c>
    </row>
    <row r="760" spans="1:19" s="77" customFormat="1" x14ac:dyDescent="0.25">
      <c r="A760" s="267" t="s">
        <v>200</v>
      </c>
      <c r="B760" s="497" t="s">
        <v>76</v>
      </c>
      <c r="C760" s="496" t="s">
        <v>12</v>
      </c>
      <c r="D760" s="497" t="s">
        <v>14</v>
      </c>
      <c r="E760" s="285" t="s">
        <v>660</v>
      </c>
      <c r="F760" s="497" t="s">
        <v>9</v>
      </c>
      <c r="G760" s="283">
        <f t="shared" ref="G760:R760" si="364">G761</f>
        <v>0</v>
      </c>
      <c r="H760" s="304">
        <f t="shared" si="364"/>
        <v>27898.400000000001</v>
      </c>
      <c r="I760" s="283">
        <f t="shared" si="364"/>
        <v>0</v>
      </c>
      <c r="J760" s="283">
        <f t="shared" si="364"/>
        <v>0</v>
      </c>
      <c r="K760" s="283">
        <f t="shared" si="364"/>
        <v>5729.6</v>
      </c>
      <c r="L760" s="283">
        <f t="shared" si="364"/>
        <v>0</v>
      </c>
      <c r="M760" s="568">
        <f t="shared" si="364"/>
        <v>0</v>
      </c>
      <c r="N760" s="568">
        <f t="shared" si="364"/>
        <v>0</v>
      </c>
      <c r="O760" s="569">
        <f t="shared" si="364"/>
        <v>0</v>
      </c>
      <c r="P760" s="569">
        <f t="shared" si="364"/>
        <v>0</v>
      </c>
      <c r="Q760" s="569">
        <f t="shared" si="364"/>
        <v>0</v>
      </c>
      <c r="R760" s="569">
        <f t="shared" si="364"/>
        <v>0</v>
      </c>
      <c r="S760" s="132">
        <f t="shared" si="343"/>
        <v>33628</v>
      </c>
    </row>
    <row r="761" spans="1:19" s="80" customFormat="1" ht="31.5" x14ac:dyDescent="0.25">
      <c r="A761" s="264" t="s">
        <v>843</v>
      </c>
      <c r="B761" s="380" t="s">
        <v>76</v>
      </c>
      <c r="C761" s="488" t="s">
        <v>12</v>
      </c>
      <c r="D761" s="380" t="s">
        <v>14</v>
      </c>
      <c r="E761" s="265" t="s">
        <v>660</v>
      </c>
      <c r="F761" s="380" t="s">
        <v>490</v>
      </c>
      <c r="G761" s="282"/>
      <c r="H761" s="303">
        <f>17398.4+10000+500</f>
        <v>27898.400000000001</v>
      </c>
      <c r="I761" s="265"/>
      <c r="J761" s="282"/>
      <c r="K761" s="419">
        <v>5729.6</v>
      </c>
      <c r="L761" s="265"/>
      <c r="M761" s="570"/>
      <c r="N761" s="570"/>
      <c r="O761" s="571"/>
      <c r="P761" s="571"/>
      <c r="Q761" s="571"/>
      <c r="R761" s="571"/>
      <c r="S761" s="566">
        <f t="shared" si="343"/>
        <v>33628</v>
      </c>
    </row>
    <row r="762" spans="1:19" s="80" customFormat="1" x14ac:dyDescent="0.25">
      <c r="A762" s="267" t="s">
        <v>201</v>
      </c>
      <c r="B762" s="497" t="s">
        <v>76</v>
      </c>
      <c r="C762" s="496" t="s">
        <v>12</v>
      </c>
      <c r="D762" s="497" t="s">
        <v>14</v>
      </c>
      <c r="E762" s="285" t="s">
        <v>452</v>
      </c>
      <c r="F762" s="497" t="s">
        <v>9</v>
      </c>
      <c r="G762" s="283">
        <f t="shared" ref="G762:R762" si="365">G763+G764+G765</f>
        <v>0</v>
      </c>
      <c r="H762" s="304">
        <f t="shared" si="365"/>
        <v>10641.1</v>
      </c>
      <c r="I762" s="283">
        <f t="shared" si="365"/>
        <v>0</v>
      </c>
      <c r="J762" s="283">
        <f t="shared" si="365"/>
        <v>-18</v>
      </c>
      <c r="K762" s="283">
        <f t="shared" si="365"/>
        <v>906.6</v>
      </c>
      <c r="L762" s="283">
        <f t="shared" si="365"/>
        <v>0</v>
      </c>
      <c r="M762" s="568">
        <f t="shared" si="365"/>
        <v>0</v>
      </c>
      <c r="N762" s="568">
        <f t="shared" si="365"/>
        <v>0</v>
      </c>
      <c r="O762" s="569">
        <f t="shared" si="365"/>
        <v>0</v>
      </c>
      <c r="P762" s="569">
        <f t="shared" si="365"/>
        <v>0</v>
      </c>
      <c r="Q762" s="569">
        <f t="shared" si="365"/>
        <v>0</v>
      </c>
      <c r="R762" s="569">
        <f t="shared" si="365"/>
        <v>0</v>
      </c>
      <c r="S762" s="132">
        <f t="shared" si="343"/>
        <v>11529.7</v>
      </c>
    </row>
    <row r="763" spans="1:19" s="80" customFormat="1" ht="63" x14ac:dyDescent="0.25">
      <c r="A763" s="264" t="s">
        <v>115</v>
      </c>
      <c r="B763" s="380" t="s">
        <v>76</v>
      </c>
      <c r="C763" s="488" t="s">
        <v>12</v>
      </c>
      <c r="D763" s="380" t="s">
        <v>14</v>
      </c>
      <c r="E763" s="265" t="s">
        <v>452</v>
      </c>
      <c r="F763" s="380" t="s">
        <v>113</v>
      </c>
      <c r="G763" s="282"/>
      <c r="H763" s="303">
        <v>6749</v>
      </c>
      <c r="I763" s="265"/>
      <c r="J763" s="282"/>
      <c r="K763" s="419">
        <v>906.6</v>
      </c>
      <c r="L763" s="265"/>
      <c r="M763" s="570"/>
      <c r="N763" s="570"/>
      <c r="O763" s="571"/>
      <c r="P763" s="571"/>
      <c r="Q763" s="571"/>
      <c r="R763" s="571"/>
      <c r="S763" s="566">
        <f t="shared" si="343"/>
        <v>7655.6</v>
      </c>
    </row>
    <row r="764" spans="1:19" s="80" customFormat="1" ht="31.5" x14ac:dyDescent="0.25">
      <c r="A764" s="264" t="s">
        <v>124</v>
      </c>
      <c r="B764" s="380" t="s">
        <v>76</v>
      </c>
      <c r="C764" s="488" t="s">
        <v>12</v>
      </c>
      <c r="D764" s="380" t="s">
        <v>14</v>
      </c>
      <c r="E764" s="265" t="s">
        <v>452</v>
      </c>
      <c r="F764" s="380" t="s">
        <v>117</v>
      </c>
      <c r="G764" s="282"/>
      <c r="H764" s="303">
        <f>2837.4+1000</f>
        <v>3837.4</v>
      </c>
      <c r="I764" s="265"/>
      <c r="J764" s="282">
        <v>-18</v>
      </c>
      <c r="K764" s="265"/>
      <c r="L764" s="265"/>
      <c r="M764" s="570"/>
      <c r="N764" s="570"/>
      <c r="O764" s="571"/>
      <c r="P764" s="571"/>
      <c r="Q764" s="571"/>
      <c r="R764" s="571"/>
      <c r="S764" s="566">
        <f t="shared" si="343"/>
        <v>3819.4</v>
      </c>
    </row>
    <row r="765" spans="1:19" s="77" customFormat="1" x14ac:dyDescent="0.25">
      <c r="A765" s="264" t="s">
        <v>116</v>
      </c>
      <c r="B765" s="380" t="s">
        <v>76</v>
      </c>
      <c r="C765" s="488" t="s">
        <v>12</v>
      </c>
      <c r="D765" s="380" t="s">
        <v>14</v>
      </c>
      <c r="E765" s="265" t="s">
        <v>452</v>
      </c>
      <c r="F765" s="380" t="s">
        <v>114</v>
      </c>
      <c r="G765" s="282"/>
      <c r="H765" s="303">
        <v>54.7</v>
      </c>
      <c r="I765" s="265"/>
      <c r="J765" s="265"/>
      <c r="K765" s="265"/>
      <c r="L765" s="265"/>
      <c r="M765" s="570"/>
      <c r="N765" s="570"/>
      <c r="O765" s="571"/>
      <c r="P765" s="571"/>
      <c r="Q765" s="571"/>
      <c r="R765" s="571"/>
      <c r="S765" s="566">
        <f t="shared" si="343"/>
        <v>54.7</v>
      </c>
    </row>
    <row r="766" spans="1:19" s="80" customFormat="1" ht="15.6" hidden="1" x14ac:dyDescent="0.3">
      <c r="A766" s="267" t="s">
        <v>201</v>
      </c>
      <c r="B766" s="497" t="s">
        <v>76</v>
      </c>
      <c r="C766" s="496" t="s">
        <v>12</v>
      </c>
      <c r="D766" s="497" t="s">
        <v>14</v>
      </c>
      <c r="E766" s="285" t="s">
        <v>525</v>
      </c>
      <c r="F766" s="497" t="s">
        <v>9</v>
      </c>
      <c r="G766" s="283">
        <f t="shared" ref="G766:R766" si="366">G767</f>
        <v>0</v>
      </c>
      <c r="H766" s="304">
        <f t="shared" si="366"/>
        <v>0</v>
      </c>
      <c r="I766" s="283">
        <f t="shared" si="366"/>
        <v>0</v>
      </c>
      <c r="J766" s="283">
        <f t="shared" si="366"/>
        <v>0</v>
      </c>
      <c r="K766" s="283">
        <f t="shared" si="366"/>
        <v>0</v>
      </c>
      <c r="L766" s="283">
        <f t="shared" si="366"/>
        <v>0</v>
      </c>
      <c r="M766" s="568">
        <f t="shared" si="366"/>
        <v>0</v>
      </c>
      <c r="N766" s="568">
        <f t="shared" si="366"/>
        <v>0</v>
      </c>
      <c r="O766" s="569">
        <f t="shared" si="366"/>
        <v>0</v>
      </c>
      <c r="P766" s="569">
        <f t="shared" si="366"/>
        <v>0</v>
      </c>
      <c r="Q766" s="569">
        <f t="shared" si="366"/>
        <v>0</v>
      </c>
      <c r="R766" s="569">
        <f t="shared" si="366"/>
        <v>0</v>
      </c>
      <c r="S766" s="132">
        <f t="shared" si="343"/>
        <v>0</v>
      </c>
    </row>
    <row r="767" spans="1:19" s="80" customFormat="1" ht="15.6" hidden="1" x14ac:dyDescent="0.3">
      <c r="A767" s="264" t="s">
        <v>116</v>
      </c>
      <c r="B767" s="380" t="s">
        <v>76</v>
      </c>
      <c r="C767" s="488" t="s">
        <v>12</v>
      </c>
      <c r="D767" s="380" t="s">
        <v>14</v>
      </c>
      <c r="E767" s="265" t="s">
        <v>525</v>
      </c>
      <c r="F767" s="380" t="s">
        <v>114</v>
      </c>
      <c r="G767" s="282"/>
      <c r="H767" s="303"/>
      <c r="I767" s="265"/>
      <c r="J767" s="265"/>
      <c r="K767" s="265"/>
      <c r="L767" s="265"/>
      <c r="M767" s="570"/>
      <c r="N767" s="570"/>
      <c r="O767" s="571"/>
      <c r="P767" s="571"/>
      <c r="Q767" s="571"/>
      <c r="R767" s="571"/>
      <c r="S767" s="131">
        <f t="shared" si="343"/>
        <v>0</v>
      </c>
    </row>
    <row r="768" spans="1:19" s="80" customFormat="1" ht="46.9" hidden="1" x14ac:dyDescent="0.3">
      <c r="A768" s="267" t="s">
        <v>890</v>
      </c>
      <c r="B768" s="497" t="s">
        <v>76</v>
      </c>
      <c r="C768" s="496" t="s">
        <v>12</v>
      </c>
      <c r="D768" s="497" t="s">
        <v>14</v>
      </c>
      <c r="E768" s="285" t="s">
        <v>893</v>
      </c>
      <c r="F768" s="497" t="s">
        <v>9</v>
      </c>
      <c r="G768" s="283">
        <f t="shared" ref="G768:R768" si="367">G770+G769</f>
        <v>0</v>
      </c>
      <c r="H768" s="304">
        <f t="shared" si="367"/>
        <v>0</v>
      </c>
      <c r="I768" s="283">
        <f t="shared" si="367"/>
        <v>0</v>
      </c>
      <c r="J768" s="283">
        <f t="shared" si="367"/>
        <v>0</v>
      </c>
      <c r="K768" s="283">
        <f t="shared" si="367"/>
        <v>0</v>
      </c>
      <c r="L768" s="283">
        <f t="shared" si="367"/>
        <v>0</v>
      </c>
      <c r="M768" s="568">
        <f t="shared" si="367"/>
        <v>0</v>
      </c>
      <c r="N768" s="568">
        <f t="shared" si="367"/>
        <v>0</v>
      </c>
      <c r="O768" s="569">
        <f t="shared" si="367"/>
        <v>0</v>
      </c>
      <c r="P768" s="569">
        <f t="shared" si="367"/>
        <v>0</v>
      </c>
      <c r="Q768" s="569">
        <f t="shared" si="367"/>
        <v>0</v>
      </c>
      <c r="R768" s="569">
        <f t="shared" si="367"/>
        <v>0</v>
      </c>
      <c r="S768" s="132">
        <f t="shared" si="343"/>
        <v>0</v>
      </c>
    </row>
    <row r="769" spans="1:19" s="80" customFormat="1" ht="31.15" hidden="1" x14ac:dyDescent="0.3">
      <c r="A769" s="264" t="s">
        <v>124</v>
      </c>
      <c r="B769" s="380" t="s">
        <v>76</v>
      </c>
      <c r="C769" s="488" t="s">
        <v>12</v>
      </c>
      <c r="D769" s="380" t="s">
        <v>14</v>
      </c>
      <c r="E769" s="265" t="s">
        <v>893</v>
      </c>
      <c r="F769" s="380" t="s">
        <v>117</v>
      </c>
      <c r="G769" s="282"/>
      <c r="H769" s="303"/>
      <c r="I769" s="265"/>
      <c r="J769" s="265"/>
      <c r="K769" s="265"/>
      <c r="L769" s="265"/>
      <c r="M769" s="570"/>
      <c r="N769" s="570"/>
      <c r="O769" s="571"/>
      <c r="P769" s="571"/>
      <c r="Q769" s="571"/>
      <c r="R769" s="571"/>
      <c r="S769" s="131">
        <f t="shared" si="343"/>
        <v>0</v>
      </c>
    </row>
    <row r="770" spans="1:19" s="80" customFormat="1" ht="31.15" hidden="1" x14ac:dyDescent="0.3">
      <c r="A770" s="264" t="s">
        <v>843</v>
      </c>
      <c r="B770" s="380" t="s">
        <v>76</v>
      </c>
      <c r="C770" s="488" t="s">
        <v>12</v>
      </c>
      <c r="D770" s="380" t="s">
        <v>14</v>
      </c>
      <c r="E770" s="265" t="s">
        <v>893</v>
      </c>
      <c r="F770" s="380" t="s">
        <v>490</v>
      </c>
      <c r="G770" s="282"/>
      <c r="H770" s="303"/>
      <c r="I770" s="265"/>
      <c r="J770" s="265"/>
      <c r="K770" s="265"/>
      <c r="L770" s="265"/>
      <c r="M770" s="570"/>
      <c r="N770" s="570"/>
      <c r="O770" s="571"/>
      <c r="P770" s="571"/>
      <c r="Q770" s="571"/>
      <c r="R770" s="571"/>
      <c r="S770" s="131">
        <f t="shared" si="343"/>
        <v>0</v>
      </c>
    </row>
    <row r="771" spans="1:19" s="80" customFormat="1" ht="46.9" hidden="1" x14ac:dyDescent="0.3">
      <c r="A771" s="267" t="s">
        <v>890</v>
      </c>
      <c r="B771" s="497" t="s">
        <v>76</v>
      </c>
      <c r="C771" s="496" t="s">
        <v>12</v>
      </c>
      <c r="D771" s="497" t="s">
        <v>14</v>
      </c>
      <c r="E771" s="285" t="s">
        <v>894</v>
      </c>
      <c r="F771" s="497" t="s">
        <v>9</v>
      </c>
      <c r="G771" s="283">
        <f t="shared" ref="G771:R771" si="368">G772</f>
        <v>0</v>
      </c>
      <c r="H771" s="304">
        <f t="shared" si="368"/>
        <v>0</v>
      </c>
      <c r="I771" s="283">
        <f t="shared" si="368"/>
        <v>0</v>
      </c>
      <c r="J771" s="283">
        <f t="shared" si="368"/>
        <v>0</v>
      </c>
      <c r="K771" s="283">
        <f t="shared" si="368"/>
        <v>0</v>
      </c>
      <c r="L771" s="283">
        <f t="shared" si="368"/>
        <v>0</v>
      </c>
      <c r="M771" s="568">
        <f t="shared" si="368"/>
        <v>0</v>
      </c>
      <c r="N771" s="568">
        <f t="shared" si="368"/>
        <v>0</v>
      </c>
      <c r="O771" s="569">
        <f t="shared" si="368"/>
        <v>0</v>
      </c>
      <c r="P771" s="569">
        <f t="shared" si="368"/>
        <v>0</v>
      </c>
      <c r="Q771" s="569">
        <f t="shared" si="368"/>
        <v>0</v>
      </c>
      <c r="R771" s="569">
        <f t="shared" si="368"/>
        <v>0</v>
      </c>
      <c r="S771" s="132">
        <f t="shared" si="343"/>
        <v>0</v>
      </c>
    </row>
    <row r="772" spans="1:19" s="80" customFormat="1" ht="31.15" hidden="1" x14ac:dyDescent="0.3">
      <c r="A772" s="264" t="s">
        <v>843</v>
      </c>
      <c r="B772" s="380" t="s">
        <v>76</v>
      </c>
      <c r="C772" s="488" t="s">
        <v>12</v>
      </c>
      <c r="D772" s="380" t="s">
        <v>14</v>
      </c>
      <c r="E772" s="265" t="s">
        <v>894</v>
      </c>
      <c r="F772" s="380" t="s">
        <v>490</v>
      </c>
      <c r="G772" s="282"/>
      <c r="H772" s="303"/>
      <c r="I772" s="265"/>
      <c r="J772" s="265"/>
      <c r="K772" s="265"/>
      <c r="L772" s="265"/>
      <c r="M772" s="570"/>
      <c r="N772" s="570"/>
      <c r="O772" s="571"/>
      <c r="P772" s="571"/>
      <c r="Q772" s="571"/>
      <c r="R772" s="571"/>
      <c r="S772" s="131">
        <f t="shared" si="343"/>
        <v>0</v>
      </c>
    </row>
    <row r="773" spans="1:19" s="80" customFormat="1" x14ac:dyDescent="0.25">
      <c r="A773" s="267" t="s">
        <v>1058</v>
      </c>
      <c r="B773" s="497" t="s">
        <v>76</v>
      </c>
      <c r="C773" s="496" t="s">
        <v>12</v>
      </c>
      <c r="D773" s="497" t="s">
        <v>14</v>
      </c>
      <c r="E773" s="285" t="s">
        <v>1061</v>
      </c>
      <c r="F773" s="497" t="s">
        <v>9</v>
      </c>
      <c r="G773" s="283">
        <f t="shared" ref="G773:R773" si="369">G774</f>
        <v>128.9</v>
      </c>
      <c r="H773" s="304">
        <f t="shared" si="369"/>
        <v>0</v>
      </c>
      <c r="I773" s="283">
        <f t="shared" si="369"/>
        <v>0</v>
      </c>
      <c r="J773" s="283">
        <f t="shared" si="369"/>
        <v>0</v>
      </c>
      <c r="K773" s="283">
        <f t="shared" si="369"/>
        <v>-1.0999999999999999E-2</v>
      </c>
      <c r="L773" s="283">
        <f t="shared" si="369"/>
        <v>0</v>
      </c>
      <c r="M773" s="568">
        <f t="shared" si="369"/>
        <v>0</v>
      </c>
      <c r="N773" s="568">
        <f t="shared" si="369"/>
        <v>0</v>
      </c>
      <c r="O773" s="569">
        <f t="shared" si="369"/>
        <v>0</v>
      </c>
      <c r="P773" s="569">
        <f t="shared" si="369"/>
        <v>0</v>
      </c>
      <c r="Q773" s="569">
        <f t="shared" si="369"/>
        <v>0</v>
      </c>
      <c r="R773" s="569">
        <f t="shared" si="369"/>
        <v>0</v>
      </c>
      <c r="S773" s="132">
        <f t="shared" si="343"/>
        <v>128.88900000000001</v>
      </c>
    </row>
    <row r="774" spans="1:19" s="80" customFormat="1" ht="31.5" x14ac:dyDescent="0.25">
      <c r="A774" s="264" t="s">
        <v>124</v>
      </c>
      <c r="B774" s="380" t="s">
        <v>76</v>
      </c>
      <c r="C774" s="488" t="s">
        <v>12</v>
      </c>
      <c r="D774" s="380" t="s">
        <v>14</v>
      </c>
      <c r="E774" s="265" t="s">
        <v>1061</v>
      </c>
      <c r="F774" s="380" t="s">
        <v>117</v>
      </c>
      <c r="G774" s="300">
        <f>127.6+1.3</f>
        <v>128.9</v>
      </c>
      <c r="H774" s="303"/>
      <c r="I774" s="265"/>
      <c r="J774" s="265"/>
      <c r="K774" s="265">
        <v>-1.0999999999999999E-2</v>
      </c>
      <c r="L774" s="265"/>
      <c r="M774" s="566"/>
      <c r="N774" s="570"/>
      <c r="O774" s="571"/>
      <c r="P774" s="571"/>
      <c r="Q774" s="571"/>
      <c r="R774" s="571"/>
      <c r="S774" s="566">
        <f t="shared" si="343"/>
        <v>128.88900000000001</v>
      </c>
    </row>
    <row r="775" spans="1:19" s="77" customFormat="1" x14ac:dyDescent="0.25">
      <c r="A775" s="264" t="s">
        <v>17</v>
      </c>
      <c r="B775" s="380" t="s">
        <v>76</v>
      </c>
      <c r="C775" s="488" t="s">
        <v>18</v>
      </c>
      <c r="D775" s="380" t="s">
        <v>10</v>
      </c>
      <c r="E775" s="265" t="s">
        <v>365</v>
      </c>
      <c r="F775" s="380" t="s">
        <v>9</v>
      </c>
      <c r="G775" s="282">
        <f t="shared" ref="G775:K775" si="370">G776+G781+G793</f>
        <v>21967.289999999997</v>
      </c>
      <c r="H775" s="303">
        <f t="shared" si="370"/>
        <v>2128.8000000000002</v>
      </c>
      <c r="I775" s="282">
        <f t="shared" si="370"/>
        <v>0</v>
      </c>
      <c r="J775" s="282">
        <f t="shared" si="370"/>
        <v>142.8725</v>
      </c>
      <c r="K775" s="282">
        <f t="shared" si="370"/>
        <v>535.6</v>
      </c>
      <c r="L775" s="282">
        <f>L776+L781+L793+L830</f>
        <v>549.5544000000001</v>
      </c>
      <c r="M775" s="566">
        <f t="shared" ref="M775:R775" si="371">M776+M781+M793+M830</f>
        <v>-606.95049999999992</v>
      </c>
      <c r="N775" s="566">
        <f t="shared" si="371"/>
        <v>81.000500000000002</v>
      </c>
      <c r="O775" s="131">
        <f t="shared" si="371"/>
        <v>0</v>
      </c>
      <c r="P775" s="131">
        <f t="shared" si="371"/>
        <v>0</v>
      </c>
      <c r="Q775" s="131">
        <f t="shared" si="371"/>
        <v>0</v>
      </c>
      <c r="R775" s="131">
        <f t="shared" si="371"/>
        <v>0</v>
      </c>
      <c r="S775" s="131">
        <f t="shared" si="343"/>
        <v>24798.166899999997</v>
      </c>
    </row>
    <row r="776" spans="1:19" s="77" customFormat="1" x14ac:dyDescent="0.25">
      <c r="A776" s="267" t="s">
        <v>95</v>
      </c>
      <c r="B776" s="497" t="s">
        <v>76</v>
      </c>
      <c r="C776" s="496" t="s">
        <v>18</v>
      </c>
      <c r="D776" s="497" t="s">
        <v>14</v>
      </c>
      <c r="E776" s="285" t="s">
        <v>365</v>
      </c>
      <c r="F776" s="497" t="s">
        <v>9</v>
      </c>
      <c r="G776" s="283">
        <f t="shared" ref="G776:R777" si="372">G777</f>
        <v>0</v>
      </c>
      <c r="H776" s="304">
        <f t="shared" si="372"/>
        <v>2128.8000000000002</v>
      </c>
      <c r="I776" s="283">
        <f t="shared" si="372"/>
        <v>0</v>
      </c>
      <c r="J776" s="283">
        <f t="shared" si="372"/>
        <v>0</v>
      </c>
      <c r="K776" s="283">
        <f t="shared" si="372"/>
        <v>0</v>
      </c>
      <c r="L776" s="283">
        <f t="shared" si="372"/>
        <v>0</v>
      </c>
      <c r="M776" s="568">
        <f t="shared" si="372"/>
        <v>0</v>
      </c>
      <c r="N776" s="568">
        <f t="shared" si="372"/>
        <v>0</v>
      </c>
      <c r="O776" s="569">
        <f t="shared" si="372"/>
        <v>0</v>
      </c>
      <c r="P776" s="569">
        <f t="shared" si="372"/>
        <v>0</v>
      </c>
      <c r="Q776" s="569">
        <f t="shared" si="372"/>
        <v>0</v>
      </c>
      <c r="R776" s="569">
        <f t="shared" si="372"/>
        <v>0</v>
      </c>
      <c r="S776" s="132">
        <f t="shared" si="343"/>
        <v>2128.8000000000002</v>
      </c>
    </row>
    <row r="777" spans="1:19" s="77" customFormat="1" ht="31.5" x14ac:dyDescent="0.25">
      <c r="A777" s="267" t="s">
        <v>784</v>
      </c>
      <c r="B777" s="497" t="s">
        <v>76</v>
      </c>
      <c r="C777" s="496" t="s">
        <v>18</v>
      </c>
      <c r="D777" s="497" t="s">
        <v>14</v>
      </c>
      <c r="E777" s="285" t="s">
        <v>380</v>
      </c>
      <c r="F777" s="497" t="s">
        <v>9</v>
      </c>
      <c r="G777" s="283">
        <f t="shared" si="372"/>
        <v>0</v>
      </c>
      <c r="H777" s="304">
        <f t="shared" si="372"/>
        <v>2128.8000000000002</v>
      </c>
      <c r="I777" s="283">
        <f t="shared" si="372"/>
        <v>0</v>
      </c>
      <c r="J777" s="283">
        <f t="shared" si="372"/>
        <v>0</v>
      </c>
      <c r="K777" s="283">
        <f t="shared" si="372"/>
        <v>0</v>
      </c>
      <c r="L777" s="283">
        <f t="shared" si="372"/>
        <v>0</v>
      </c>
      <c r="M777" s="568">
        <f t="shared" si="372"/>
        <v>0</v>
      </c>
      <c r="N777" s="568">
        <f t="shared" si="372"/>
        <v>0</v>
      </c>
      <c r="O777" s="569">
        <f t="shared" si="372"/>
        <v>0</v>
      </c>
      <c r="P777" s="569">
        <f t="shared" si="372"/>
        <v>0</v>
      </c>
      <c r="Q777" s="569">
        <f t="shared" si="372"/>
        <v>0</v>
      </c>
      <c r="R777" s="569">
        <f t="shared" si="372"/>
        <v>0</v>
      </c>
      <c r="S777" s="132">
        <f t="shared" si="343"/>
        <v>2128.8000000000002</v>
      </c>
    </row>
    <row r="778" spans="1:19" s="77" customFormat="1" ht="31.5" x14ac:dyDescent="0.25">
      <c r="A778" s="267" t="s">
        <v>571</v>
      </c>
      <c r="B778" s="497" t="s">
        <v>76</v>
      </c>
      <c r="C778" s="496" t="s">
        <v>18</v>
      </c>
      <c r="D778" s="497" t="s">
        <v>14</v>
      </c>
      <c r="E778" s="285" t="s">
        <v>453</v>
      </c>
      <c r="F778" s="497" t="s">
        <v>9</v>
      </c>
      <c r="G778" s="283">
        <f t="shared" ref="G778:R778" si="373">G779+G780</f>
        <v>0</v>
      </c>
      <c r="H778" s="304">
        <f t="shared" si="373"/>
        <v>2128.8000000000002</v>
      </c>
      <c r="I778" s="283">
        <f t="shared" si="373"/>
        <v>0</v>
      </c>
      <c r="J778" s="283">
        <f t="shared" si="373"/>
        <v>0</v>
      </c>
      <c r="K778" s="283">
        <f t="shared" si="373"/>
        <v>0</v>
      </c>
      <c r="L778" s="283">
        <f t="shared" si="373"/>
        <v>0</v>
      </c>
      <c r="M778" s="568">
        <f t="shared" si="373"/>
        <v>0</v>
      </c>
      <c r="N778" s="568">
        <f t="shared" si="373"/>
        <v>0</v>
      </c>
      <c r="O778" s="569">
        <f t="shared" si="373"/>
        <v>0</v>
      </c>
      <c r="P778" s="569">
        <f t="shared" si="373"/>
        <v>0</v>
      </c>
      <c r="Q778" s="569">
        <f t="shared" si="373"/>
        <v>0</v>
      </c>
      <c r="R778" s="569">
        <f t="shared" si="373"/>
        <v>0</v>
      </c>
      <c r="S778" s="132">
        <f t="shared" si="343"/>
        <v>2128.8000000000002</v>
      </c>
    </row>
    <row r="779" spans="1:19" s="80" customFormat="1" ht="31.5" x14ac:dyDescent="0.25">
      <c r="A779" s="264" t="s">
        <v>124</v>
      </c>
      <c r="B779" s="380" t="s">
        <v>76</v>
      </c>
      <c r="C779" s="488" t="s">
        <v>18</v>
      </c>
      <c r="D779" s="380" t="s">
        <v>14</v>
      </c>
      <c r="E779" s="265" t="s">
        <v>453</v>
      </c>
      <c r="F779" s="380" t="s">
        <v>117</v>
      </c>
      <c r="G779" s="282"/>
      <c r="H779" s="303">
        <v>21</v>
      </c>
      <c r="I779" s="265"/>
      <c r="J779" s="265"/>
      <c r="K779" s="265"/>
      <c r="L779" s="265"/>
      <c r="M779" s="570"/>
      <c r="N779" s="570"/>
      <c r="O779" s="571"/>
      <c r="P779" s="571"/>
      <c r="Q779" s="571"/>
      <c r="R779" s="571"/>
      <c r="S779" s="566">
        <f t="shared" si="343"/>
        <v>21</v>
      </c>
    </row>
    <row r="780" spans="1:19" s="80" customFormat="1" x14ac:dyDescent="0.25">
      <c r="A780" s="264" t="s">
        <v>125</v>
      </c>
      <c r="B780" s="380" t="s">
        <v>76</v>
      </c>
      <c r="C780" s="488" t="s">
        <v>18</v>
      </c>
      <c r="D780" s="380" t="s">
        <v>14</v>
      </c>
      <c r="E780" s="265" t="s">
        <v>453</v>
      </c>
      <c r="F780" s="380" t="s">
        <v>118</v>
      </c>
      <c r="G780" s="282"/>
      <c r="H780" s="303">
        <v>2107.8000000000002</v>
      </c>
      <c r="I780" s="265"/>
      <c r="J780" s="265"/>
      <c r="K780" s="265"/>
      <c r="L780" s="265"/>
      <c r="M780" s="570"/>
      <c r="N780" s="570"/>
      <c r="O780" s="571"/>
      <c r="P780" s="571"/>
      <c r="Q780" s="571"/>
      <c r="R780" s="571"/>
      <c r="S780" s="566">
        <f t="shared" si="343"/>
        <v>2107.8000000000002</v>
      </c>
    </row>
    <row r="781" spans="1:19" s="80" customFormat="1" x14ac:dyDescent="0.25">
      <c r="A781" s="267" t="s">
        <v>19</v>
      </c>
      <c r="B781" s="497" t="s">
        <v>76</v>
      </c>
      <c r="C781" s="496" t="s">
        <v>18</v>
      </c>
      <c r="D781" s="497" t="s">
        <v>20</v>
      </c>
      <c r="E781" s="285" t="s">
        <v>365</v>
      </c>
      <c r="F781" s="497" t="s">
        <v>9</v>
      </c>
      <c r="G781" s="283">
        <f t="shared" ref="G781:R781" si="374">G782</f>
        <v>1413.3</v>
      </c>
      <c r="H781" s="304">
        <f t="shared" si="374"/>
        <v>0</v>
      </c>
      <c r="I781" s="283">
        <f t="shared" si="374"/>
        <v>0</v>
      </c>
      <c r="J781" s="283">
        <f t="shared" si="374"/>
        <v>0</v>
      </c>
      <c r="K781" s="283">
        <f t="shared" si="374"/>
        <v>0</v>
      </c>
      <c r="L781" s="283">
        <f t="shared" si="374"/>
        <v>0</v>
      </c>
      <c r="M781" s="568">
        <f t="shared" si="374"/>
        <v>64</v>
      </c>
      <c r="N781" s="568">
        <f t="shared" si="374"/>
        <v>0</v>
      </c>
      <c r="O781" s="569">
        <f t="shared" si="374"/>
        <v>0</v>
      </c>
      <c r="P781" s="569">
        <f t="shared" si="374"/>
        <v>0</v>
      </c>
      <c r="Q781" s="569">
        <f t="shared" si="374"/>
        <v>0</v>
      </c>
      <c r="R781" s="569">
        <f t="shared" si="374"/>
        <v>0</v>
      </c>
      <c r="S781" s="132">
        <f t="shared" si="343"/>
        <v>1477.3</v>
      </c>
    </row>
    <row r="782" spans="1:19" s="80" customFormat="1" ht="31.5" x14ac:dyDescent="0.25">
      <c r="A782" s="267" t="s">
        <v>784</v>
      </c>
      <c r="B782" s="497" t="s">
        <v>76</v>
      </c>
      <c r="C782" s="496" t="s">
        <v>18</v>
      </c>
      <c r="D782" s="497" t="s">
        <v>20</v>
      </c>
      <c r="E782" s="285" t="s">
        <v>380</v>
      </c>
      <c r="F782" s="497" t="s">
        <v>9</v>
      </c>
      <c r="G782" s="283">
        <f t="shared" ref="G782:R782" si="375">G785+G783</f>
        <v>1413.3</v>
      </c>
      <c r="H782" s="304">
        <f t="shared" si="375"/>
        <v>0</v>
      </c>
      <c r="I782" s="283">
        <f t="shared" si="375"/>
        <v>0</v>
      </c>
      <c r="J782" s="283">
        <f t="shared" si="375"/>
        <v>0</v>
      </c>
      <c r="K782" s="283">
        <f t="shared" si="375"/>
        <v>0</v>
      </c>
      <c r="L782" s="283">
        <f t="shared" si="375"/>
        <v>0</v>
      </c>
      <c r="M782" s="568">
        <f t="shared" si="375"/>
        <v>64</v>
      </c>
      <c r="N782" s="568">
        <f t="shared" si="375"/>
        <v>0</v>
      </c>
      <c r="O782" s="569">
        <f t="shared" si="375"/>
        <v>0</v>
      </c>
      <c r="P782" s="569">
        <f t="shared" si="375"/>
        <v>0</v>
      </c>
      <c r="Q782" s="569">
        <f t="shared" si="375"/>
        <v>0</v>
      </c>
      <c r="R782" s="569">
        <f t="shared" si="375"/>
        <v>0</v>
      </c>
      <c r="S782" s="132">
        <f t="shared" ref="S782:S847" si="376">G782+H782+I782+J782+K782+L782+M782+N782+O782+P782+Q782+R782</f>
        <v>1477.3</v>
      </c>
    </row>
    <row r="783" spans="1:19" s="80" customFormat="1" ht="31.15" hidden="1" x14ac:dyDescent="0.3">
      <c r="A783" s="267" t="s">
        <v>571</v>
      </c>
      <c r="B783" s="497" t="s">
        <v>76</v>
      </c>
      <c r="C783" s="496" t="s">
        <v>18</v>
      </c>
      <c r="D783" s="497" t="s">
        <v>20</v>
      </c>
      <c r="E783" s="285" t="s">
        <v>453</v>
      </c>
      <c r="F783" s="497" t="s">
        <v>9</v>
      </c>
      <c r="G783" s="283">
        <f t="shared" ref="G783:R783" si="377">G784</f>
        <v>0</v>
      </c>
      <c r="H783" s="304">
        <f t="shared" si="377"/>
        <v>0</v>
      </c>
      <c r="I783" s="283">
        <f t="shared" si="377"/>
        <v>0</v>
      </c>
      <c r="J783" s="283">
        <f t="shared" si="377"/>
        <v>0</v>
      </c>
      <c r="K783" s="283">
        <f t="shared" si="377"/>
        <v>0</v>
      </c>
      <c r="L783" s="283">
        <f t="shared" si="377"/>
        <v>0</v>
      </c>
      <c r="M783" s="568">
        <f t="shared" si="377"/>
        <v>0</v>
      </c>
      <c r="N783" s="568">
        <f t="shared" si="377"/>
        <v>0</v>
      </c>
      <c r="O783" s="569">
        <f t="shared" si="377"/>
        <v>0</v>
      </c>
      <c r="P783" s="569">
        <f t="shared" si="377"/>
        <v>0</v>
      </c>
      <c r="Q783" s="569">
        <f t="shared" si="377"/>
        <v>0</v>
      </c>
      <c r="R783" s="569">
        <f t="shared" si="377"/>
        <v>0</v>
      </c>
      <c r="S783" s="132">
        <f t="shared" si="376"/>
        <v>0</v>
      </c>
    </row>
    <row r="784" spans="1:19" s="80" customFormat="1" ht="15.6" hidden="1" x14ac:dyDescent="0.3">
      <c r="A784" s="264" t="s">
        <v>125</v>
      </c>
      <c r="B784" s="380" t="s">
        <v>76</v>
      </c>
      <c r="C784" s="488" t="s">
        <v>18</v>
      </c>
      <c r="D784" s="380" t="s">
        <v>20</v>
      </c>
      <c r="E784" s="265" t="s">
        <v>453</v>
      </c>
      <c r="F784" s="380" t="s">
        <v>118</v>
      </c>
      <c r="G784" s="282"/>
      <c r="H784" s="303"/>
      <c r="I784" s="282"/>
      <c r="J784" s="282"/>
      <c r="K784" s="282"/>
      <c r="L784" s="282"/>
      <c r="M784" s="566"/>
      <c r="N784" s="566"/>
      <c r="O784" s="131"/>
      <c r="P784" s="131"/>
      <c r="Q784" s="131"/>
      <c r="R784" s="131"/>
      <c r="S784" s="131">
        <f t="shared" si="376"/>
        <v>0</v>
      </c>
    </row>
    <row r="785" spans="1:225" s="80" customFormat="1" x14ac:dyDescent="0.25">
      <c r="A785" s="267" t="s">
        <v>15</v>
      </c>
      <c r="B785" s="497" t="s">
        <v>76</v>
      </c>
      <c r="C785" s="496" t="s">
        <v>18</v>
      </c>
      <c r="D785" s="497" t="s">
        <v>20</v>
      </c>
      <c r="E785" s="285" t="s">
        <v>433</v>
      </c>
      <c r="F785" s="497" t="s">
        <v>9</v>
      </c>
      <c r="G785" s="283">
        <f t="shared" ref="G785:R785" si="378">G786</f>
        <v>1413.3</v>
      </c>
      <c r="H785" s="304">
        <f t="shared" si="378"/>
        <v>0</v>
      </c>
      <c r="I785" s="283">
        <f t="shared" si="378"/>
        <v>0</v>
      </c>
      <c r="J785" s="283">
        <f t="shared" si="378"/>
        <v>0</v>
      </c>
      <c r="K785" s="283">
        <f t="shared" si="378"/>
        <v>0</v>
      </c>
      <c r="L785" s="283">
        <f t="shared" si="378"/>
        <v>0</v>
      </c>
      <c r="M785" s="568">
        <f t="shared" si="378"/>
        <v>64</v>
      </c>
      <c r="N785" s="568">
        <f t="shared" si="378"/>
        <v>0</v>
      </c>
      <c r="O785" s="569">
        <f t="shared" si="378"/>
        <v>0</v>
      </c>
      <c r="P785" s="569">
        <f t="shared" si="378"/>
        <v>0</v>
      </c>
      <c r="Q785" s="569">
        <f t="shared" si="378"/>
        <v>0</v>
      </c>
      <c r="R785" s="569">
        <f t="shared" si="378"/>
        <v>0</v>
      </c>
      <c r="S785" s="132">
        <f t="shared" si="376"/>
        <v>1477.3</v>
      </c>
    </row>
    <row r="786" spans="1:225" s="77" customFormat="1" ht="47.25" x14ac:dyDescent="0.25">
      <c r="A786" s="267" t="s">
        <v>1110</v>
      </c>
      <c r="B786" s="497" t="s">
        <v>76</v>
      </c>
      <c r="C786" s="496" t="s">
        <v>18</v>
      </c>
      <c r="D786" s="497" t="s">
        <v>20</v>
      </c>
      <c r="E786" s="285" t="s">
        <v>454</v>
      </c>
      <c r="F786" s="497" t="s">
        <v>9</v>
      </c>
      <c r="G786" s="283">
        <f t="shared" ref="G786:R786" si="379">G787+G790</f>
        <v>1413.3</v>
      </c>
      <c r="H786" s="283">
        <f t="shared" si="379"/>
        <v>0</v>
      </c>
      <c r="I786" s="283">
        <f t="shared" si="379"/>
        <v>0</v>
      </c>
      <c r="J786" s="283">
        <f t="shared" si="379"/>
        <v>0</v>
      </c>
      <c r="K786" s="283">
        <f t="shared" si="379"/>
        <v>0</v>
      </c>
      <c r="L786" s="283">
        <f t="shared" si="379"/>
        <v>0</v>
      </c>
      <c r="M786" s="568">
        <f t="shared" si="379"/>
        <v>64</v>
      </c>
      <c r="N786" s="568">
        <f t="shared" si="379"/>
        <v>0</v>
      </c>
      <c r="O786" s="132">
        <f t="shared" si="379"/>
        <v>0</v>
      </c>
      <c r="P786" s="132">
        <f t="shared" si="379"/>
        <v>0</v>
      </c>
      <c r="Q786" s="132">
        <f t="shared" si="379"/>
        <v>0</v>
      </c>
      <c r="R786" s="132">
        <f t="shared" si="379"/>
        <v>0</v>
      </c>
      <c r="S786" s="132">
        <f t="shared" si="376"/>
        <v>1477.3</v>
      </c>
    </row>
    <row r="787" spans="1:225" s="80" customFormat="1" ht="78.75" x14ac:dyDescent="0.25">
      <c r="A787" s="267" t="s">
        <v>21</v>
      </c>
      <c r="B787" s="497" t="s">
        <v>76</v>
      </c>
      <c r="C787" s="496" t="s">
        <v>18</v>
      </c>
      <c r="D787" s="497" t="s">
        <v>20</v>
      </c>
      <c r="E787" s="285" t="s">
        <v>455</v>
      </c>
      <c r="F787" s="497" t="s">
        <v>9</v>
      </c>
      <c r="G787" s="283">
        <f t="shared" ref="G787:R787" si="380">G788+G789</f>
        <v>575</v>
      </c>
      <c r="H787" s="304">
        <f t="shared" si="380"/>
        <v>0</v>
      </c>
      <c r="I787" s="283">
        <f t="shared" si="380"/>
        <v>0</v>
      </c>
      <c r="J787" s="283">
        <f t="shared" si="380"/>
        <v>0</v>
      </c>
      <c r="K787" s="283">
        <f t="shared" si="380"/>
        <v>0</v>
      </c>
      <c r="L787" s="283">
        <f t="shared" si="380"/>
        <v>0</v>
      </c>
      <c r="M787" s="568">
        <f t="shared" si="380"/>
        <v>64</v>
      </c>
      <c r="N787" s="568">
        <f t="shared" si="380"/>
        <v>0</v>
      </c>
      <c r="O787" s="569">
        <f t="shared" si="380"/>
        <v>0</v>
      </c>
      <c r="P787" s="569">
        <f t="shared" si="380"/>
        <v>0</v>
      </c>
      <c r="Q787" s="569">
        <f t="shared" si="380"/>
        <v>0</v>
      </c>
      <c r="R787" s="569">
        <f t="shared" si="380"/>
        <v>0</v>
      </c>
      <c r="S787" s="132">
        <f t="shared" si="376"/>
        <v>639</v>
      </c>
    </row>
    <row r="788" spans="1:225" s="80" customFormat="1" ht="63" x14ac:dyDescent="0.25">
      <c r="A788" s="264" t="s">
        <v>115</v>
      </c>
      <c r="B788" s="380" t="s">
        <v>76</v>
      </c>
      <c r="C788" s="488" t="s">
        <v>18</v>
      </c>
      <c r="D788" s="380" t="s">
        <v>20</v>
      </c>
      <c r="E788" s="265" t="s">
        <v>455</v>
      </c>
      <c r="F788" s="601" t="s">
        <v>113</v>
      </c>
      <c r="G788" s="300">
        <v>150.16</v>
      </c>
      <c r="H788" s="303"/>
      <c r="I788" s="393"/>
      <c r="J788" s="265"/>
      <c r="K788" s="265"/>
      <c r="L788" s="265"/>
      <c r="M788" s="570"/>
      <c r="N788" s="570"/>
      <c r="O788" s="571"/>
      <c r="P788" s="571"/>
      <c r="Q788" s="571"/>
      <c r="R788" s="571"/>
      <c r="S788" s="566">
        <f t="shared" si="376"/>
        <v>150.16</v>
      </c>
    </row>
    <row r="789" spans="1:225" s="77" customFormat="1" ht="31.5" x14ac:dyDescent="0.25">
      <c r="A789" s="264" t="s">
        <v>843</v>
      </c>
      <c r="B789" s="380" t="s">
        <v>76</v>
      </c>
      <c r="C789" s="488" t="s">
        <v>18</v>
      </c>
      <c r="D789" s="380" t="s">
        <v>20</v>
      </c>
      <c r="E789" s="265" t="s">
        <v>455</v>
      </c>
      <c r="F789" s="380" t="s">
        <v>490</v>
      </c>
      <c r="G789" s="300">
        <v>424.84</v>
      </c>
      <c r="H789" s="303"/>
      <c r="I789" s="393"/>
      <c r="J789" s="265"/>
      <c r="K789" s="265"/>
      <c r="L789" s="265"/>
      <c r="M789" s="602">
        <v>64</v>
      </c>
      <c r="N789" s="570"/>
      <c r="O789" s="571"/>
      <c r="P789" s="571"/>
      <c r="Q789" s="571"/>
      <c r="R789" s="571"/>
      <c r="S789" s="566">
        <f t="shared" si="376"/>
        <v>488.84</v>
      </c>
    </row>
    <row r="790" spans="1:225" s="80" customFormat="1" ht="63" x14ac:dyDescent="0.25">
      <c r="A790" s="267" t="s">
        <v>1114</v>
      </c>
      <c r="B790" s="497" t="s">
        <v>76</v>
      </c>
      <c r="C790" s="496" t="s">
        <v>18</v>
      </c>
      <c r="D790" s="497" t="s">
        <v>20</v>
      </c>
      <c r="E790" s="285" t="s">
        <v>1147</v>
      </c>
      <c r="F790" s="497" t="s">
        <v>9</v>
      </c>
      <c r="G790" s="283">
        <f t="shared" ref="G790:R790" si="381">G791+G792</f>
        <v>838.3</v>
      </c>
      <c r="H790" s="283">
        <f t="shared" si="381"/>
        <v>0</v>
      </c>
      <c r="I790" s="283">
        <f t="shared" si="381"/>
        <v>0</v>
      </c>
      <c r="J790" s="283">
        <f t="shared" si="381"/>
        <v>0</v>
      </c>
      <c r="K790" s="283">
        <f t="shared" si="381"/>
        <v>0</v>
      </c>
      <c r="L790" s="283">
        <f t="shared" si="381"/>
        <v>0</v>
      </c>
      <c r="M790" s="568">
        <f t="shared" si="381"/>
        <v>0</v>
      </c>
      <c r="N790" s="568">
        <f t="shared" si="381"/>
        <v>0</v>
      </c>
      <c r="O790" s="569">
        <f t="shared" si="381"/>
        <v>0</v>
      </c>
      <c r="P790" s="569">
        <f t="shared" si="381"/>
        <v>0</v>
      </c>
      <c r="Q790" s="569">
        <f t="shared" si="381"/>
        <v>0</v>
      </c>
      <c r="R790" s="569">
        <f t="shared" si="381"/>
        <v>0</v>
      </c>
      <c r="S790" s="132">
        <f t="shared" si="376"/>
        <v>838.3</v>
      </c>
    </row>
    <row r="791" spans="1:225" s="77" customFormat="1" ht="63" x14ac:dyDescent="0.25">
      <c r="A791" s="264" t="s">
        <v>115</v>
      </c>
      <c r="B791" s="380" t="s">
        <v>76</v>
      </c>
      <c r="C791" s="488" t="s">
        <v>18</v>
      </c>
      <c r="D791" s="380" t="s">
        <v>20</v>
      </c>
      <c r="E791" s="265" t="s">
        <v>1147</v>
      </c>
      <c r="F791" s="380" t="s">
        <v>113</v>
      </c>
      <c r="G791" s="282">
        <v>830</v>
      </c>
      <c r="H791" s="303"/>
      <c r="I791" s="265"/>
      <c r="J791" s="265"/>
      <c r="K791" s="265"/>
      <c r="L791" s="265"/>
      <c r="M791" s="570"/>
      <c r="N791" s="570"/>
      <c r="O791" s="571"/>
      <c r="P791" s="571"/>
      <c r="Q791" s="571"/>
      <c r="R791" s="571"/>
      <c r="S791" s="566">
        <f t="shared" si="376"/>
        <v>830</v>
      </c>
    </row>
    <row r="792" spans="1:225" s="77" customFormat="1" ht="31.5" x14ac:dyDescent="0.25">
      <c r="A792" s="264" t="s">
        <v>124</v>
      </c>
      <c r="B792" s="380" t="s">
        <v>76</v>
      </c>
      <c r="C792" s="488" t="s">
        <v>18</v>
      </c>
      <c r="D792" s="380" t="s">
        <v>20</v>
      </c>
      <c r="E792" s="265" t="s">
        <v>1147</v>
      </c>
      <c r="F792" s="380" t="s">
        <v>117</v>
      </c>
      <c r="G792" s="282">
        <v>8.3000000000000007</v>
      </c>
      <c r="H792" s="303"/>
      <c r="I792" s="265"/>
      <c r="J792" s="265"/>
      <c r="K792" s="265"/>
      <c r="L792" s="265"/>
      <c r="M792" s="570"/>
      <c r="N792" s="570"/>
      <c r="O792" s="571"/>
      <c r="P792" s="571"/>
      <c r="Q792" s="571"/>
      <c r="R792" s="571"/>
      <c r="S792" s="566">
        <f t="shared" si="376"/>
        <v>8.3000000000000007</v>
      </c>
    </row>
    <row r="793" spans="1:225" s="77" customFormat="1" x14ac:dyDescent="0.25">
      <c r="A793" s="267" t="s">
        <v>47</v>
      </c>
      <c r="B793" s="497" t="s">
        <v>76</v>
      </c>
      <c r="C793" s="496" t="s">
        <v>18</v>
      </c>
      <c r="D793" s="497" t="s">
        <v>25</v>
      </c>
      <c r="E793" s="285" t="s">
        <v>365</v>
      </c>
      <c r="F793" s="497" t="s">
        <v>9</v>
      </c>
      <c r="G793" s="283">
        <f t="shared" ref="G793:R793" si="382">G794</f>
        <v>20553.989999999998</v>
      </c>
      <c r="H793" s="304">
        <f t="shared" si="382"/>
        <v>0</v>
      </c>
      <c r="I793" s="283">
        <f t="shared" si="382"/>
        <v>0</v>
      </c>
      <c r="J793" s="283">
        <f t="shared" si="382"/>
        <v>142.8725</v>
      </c>
      <c r="K793" s="283">
        <f t="shared" si="382"/>
        <v>535.6</v>
      </c>
      <c r="L793" s="283">
        <f t="shared" si="382"/>
        <v>0</v>
      </c>
      <c r="M793" s="568">
        <f t="shared" si="382"/>
        <v>-670.95049999999992</v>
      </c>
      <c r="N793" s="568">
        <f t="shared" si="382"/>
        <v>81.000500000000002</v>
      </c>
      <c r="O793" s="569">
        <f t="shared" si="382"/>
        <v>0</v>
      </c>
      <c r="P793" s="569">
        <f t="shared" si="382"/>
        <v>0</v>
      </c>
      <c r="Q793" s="569">
        <f t="shared" si="382"/>
        <v>0</v>
      </c>
      <c r="R793" s="569">
        <f t="shared" si="382"/>
        <v>0</v>
      </c>
      <c r="S793" s="132">
        <f t="shared" si="376"/>
        <v>20642.512499999997</v>
      </c>
    </row>
    <row r="794" spans="1:225" s="77" customFormat="1" ht="31.5" x14ac:dyDescent="0.25">
      <c r="A794" s="267" t="s">
        <v>784</v>
      </c>
      <c r="B794" s="497" t="s">
        <v>76</v>
      </c>
      <c r="C794" s="496" t="s">
        <v>18</v>
      </c>
      <c r="D794" s="497" t="s">
        <v>25</v>
      </c>
      <c r="E794" s="285" t="s">
        <v>380</v>
      </c>
      <c r="F794" s="497" t="s">
        <v>9</v>
      </c>
      <c r="G794" s="283">
        <f t="shared" ref="G794:R794" si="383">G795+G816+G802+G805+G825+G814+G820+G828</f>
        <v>20553.989999999998</v>
      </c>
      <c r="H794" s="304">
        <f t="shared" si="383"/>
        <v>0</v>
      </c>
      <c r="I794" s="283">
        <f t="shared" si="383"/>
        <v>0</v>
      </c>
      <c r="J794" s="283">
        <f t="shared" si="383"/>
        <v>142.8725</v>
      </c>
      <c r="K794" s="283">
        <f t="shared" si="383"/>
        <v>535.6</v>
      </c>
      <c r="L794" s="283">
        <f t="shared" si="383"/>
        <v>0</v>
      </c>
      <c r="M794" s="568">
        <f t="shared" si="383"/>
        <v>-670.95049999999992</v>
      </c>
      <c r="N794" s="568">
        <f t="shared" si="383"/>
        <v>81.000500000000002</v>
      </c>
      <c r="O794" s="569">
        <f t="shared" si="383"/>
        <v>0</v>
      </c>
      <c r="P794" s="569">
        <f t="shared" si="383"/>
        <v>0</v>
      </c>
      <c r="Q794" s="569">
        <f t="shared" si="383"/>
        <v>0</v>
      </c>
      <c r="R794" s="569">
        <f t="shared" si="383"/>
        <v>0</v>
      </c>
      <c r="S794" s="132">
        <f t="shared" si="376"/>
        <v>20642.512499999997</v>
      </c>
      <c r="T794" s="80"/>
      <c r="U794" s="80"/>
      <c r="V794" s="80"/>
      <c r="W794" s="80"/>
      <c r="X794" s="80"/>
      <c r="Y794" s="80"/>
      <c r="Z794" s="80"/>
      <c r="AA794" s="80"/>
      <c r="AB794" s="80"/>
      <c r="AC794" s="80"/>
      <c r="AD794" s="80"/>
      <c r="AE794" s="80"/>
      <c r="AF794" s="80"/>
      <c r="AG794" s="80"/>
      <c r="AH794" s="80"/>
      <c r="AI794" s="80"/>
      <c r="AJ794" s="80"/>
      <c r="AK794" s="80"/>
      <c r="AL794" s="80"/>
      <c r="AM794" s="80"/>
      <c r="AN794" s="80"/>
      <c r="AO794" s="80"/>
      <c r="AP794" s="80"/>
      <c r="AQ794" s="80"/>
      <c r="AR794" s="80"/>
      <c r="AS794" s="80"/>
      <c r="AT794" s="80"/>
      <c r="AU794" s="80"/>
      <c r="AV794" s="80"/>
      <c r="AW794" s="80"/>
      <c r="AX794" s="80"/>
      <c r="AY794" s="80"/>
      <c r="AZ794" s="80"/>
      <c r="BA794" s="80"/>
      <c r="BB794" s="80"/>
      <c r="BC794" s="80"/>
      <c r="BD794" s="80"/>
      <c r="BE794" s="80"/>
      <c r="BF794" s="80"/>
      <c r="BG794" s="80"/>
      <c r="BH794" s="80"/>
      <c r="BI794" s="80"/>
      <c r="BJ794" s="80"/>
      <c r="BK794" s="80"/>
      <c r="BL794" s="80"/>
      <c r="BM794" s="80"/>
      <c r="BN794" s="80"/>
      <c r="BO794" s="80"/>
      <c r="BP794" s="80"/>
      <c r="BQ794" s="80"/>
      <c r="BR794" s="80"/>
      <c r="BS794" s="80"/>
      <c r="BT794" s="80"/>
      <c r="BU794" s="80"/>
      <c r="BV794" s="80"/>
      <c r="BW794" s="80"/>
      <c r="BX794" s="80"/>
      <c r="BY794" s="80"/>
      <c r="BZ794" s="80"/>
      <c r="CA794" s="80"/>
      <c r="CB794" s="80"/>
      <c r="CC794" s="80"/>
      <c r="CD794" s="80"/>
      <c r="CE794" s="80"/>
      <c r="CF794" s="80"/>
      <c r="CG794" s="80"/>
      <c r="CH794" s="80"/>
      <c r="CI794" s="80"/>
      <c r="CJ794" s="80"/>
      <c r="CK794" s="80"/>
      <c r="CL794" s="80"/>
      <c r="CM794" s="80"/>
      <c r="CN794" s="80"/>
      <c r="CO794" s="80"/>
      <c r="CP794" s="80"/>
      <c r="CQ794" s="80"/>
      <c r="CR794" s="80"/>
      <c r="CS794" s="80"/>
      <c r="CT794" s="80"/>
      <c r="CU794" s="80"/>
      <c r="CV794" s="80"/>
      <c r="CW794" s="80"/>
      <c r="CX794" s="80"/>
      <c r="CY794" s="80"/>
      <c r="CZ794" s="80"/>
      <c r="DA794" s="80"/>
      <c r="DB794" s="80"/>
      <c r="DC794" s="80"/>
      <c r="DD794" s="80"/>
      <c r="DE794" s="80"/>
      <c r="DF794" s="80"/>
      <c r="DG794" s="80"/>
      <c r="DH794" s="80"/>
      <c r="DI794" s="80"/>
      <c r="DJ794" s="80"/>
      <c r="DK794" s="80"/>
      <c r="DL794" s="80"/>
      <c r="DM794" s="80"/>
      <c r="DN794" s="80"/>
      <c r="DO794" s="80"/>
      <c r="DP794" s="80"/>
      <c r="DQ794" s="80"/>
      <c r="DR794" s="80"/>
      <c r="DS794" s="80"/>
      <c r="DT794" s="80"/>
      <c r="DU794" s="80"/>
      <c r="DV794" s="80"/>
      <c r="DW794" s="80"/>
      <c r="DX794" s="80"/>
      <c r="DY794" s="80"/>
      <c r="DZ794" s="80"/>
      <c r="EA794" s="80"/>
      <c r="EB794" s="80"/>
      <c r="EC794" s="80"/>
      <c r="ED794" s="80"/>
      <c r="EE794" s="80"/>
      <c r="EF794" s="80"/>
      <c r="EG794" s="80"/>
      <c r="EH794" s="80"/>
      <c r="EI794" s="80"/>
      <c r="EJ794" s="80"/>
      <c r="EK794" s="80"/>
      <c r="EL794" s="80"/>
      <c r="EM794" s="80"/>
      <c r="EN794" s="80"/>
      <c r="EO794" s="80"/>
      <c r="EP794" s="80"/>
      <c r="EQ794" s="80"/>
      <c r="ER794" s="80"/>
      <c r="ES794" s="80"/>
      <c r="ET794" s="80"/>
      <c r="EU794" s="80"/>
      <c r="EV794" s="80"/>
      <c r="EW794" s="80"/>
      <c r="EX794" s="80"/>
      <c r="EY794" s="80"/>
      <c r="EZ794" s="80"/>
      <c r="FA794" s="80"/>
      <c r="FB794" s="80"/>
      <c r="FC794" s="80"/>
      <c r="FD794" s="80"/>
      <c r="FE794" s="80"/>
      <c r="FF794" s="80"/>
      <c r="FG794" s="80"/>
      <c r="FH794" s="80"/>
      <c r="FI794" s="80"/>
      <c r="FJ794" s="80"/>
      <c r="FK794" s="80"/>
      <c r="FL794" s="80"/>
      <c r="FM794" s="80"/>
      <c r="FN794" s="80"/>
      <c r="FO794" s="80"/>
      <c r="FP794" s="80"/>
      <c r="FQ794" s="80"/>
      <c r="FR794" s="80"/>
      <c r="FS794" s="80"/>
      <c r="FT794" s="80"/>
      <c r="FU794" s="80"/>
      <c r="FV794" s="80"/>
      <c r="FW794" s="80"/>
      <c r="FX794" s="80"/>
      <c r="FY794" s="80"/>
      <c r="FZ794" s="80"/>
      <c r="GA794" s="80"/>
      <c r="GB794" s="80"/>
      <c r="GC794" s="80"/>
      <c r="GD794" s="80"/>
      <c r="GE794" s="80"/>
      <c r="GF794" s="80"/>
      <c r="GG794" s="80"/>
      <c r="GH794" s="80"/>
      <c r="GI794" s="80"/>
      <c r="GJ794" s="80"/>
      <c r="GK794" s="80"/>
      <c r="GL794" s="80"/>
      <c r="GM794" s="80"/>
      <c r="GN794" s="80"/>
      <c r="GO794" s="80"/>
      <c r="GP794" s="80"/>
      <c r="GQ794" s="80"/>
      <c r="GR794" s="80"/>
      <c r="GS794" s="80"/>
      <c r="GT794" s="80"/>
      <c r="GU794" s="80"/>
      <c r="GV794" s="80"/>
      <c r="GW794" s="80"/>
      <c r="GX794" s="80"/>
      <c r="GY794" s="80"/>
      <c r="GZ794" s="80"/>
      <c r="HA794" s="80"/>
      <c r="HB794" s="80"/>
      <c r="HC794" s="80"/>
      <c r="HD794" s="80"/>
      <c r="HE794" s="80"/>
      <c r="HF794" s="80"/>
      <c r="HG794" s="80"/>
      <c r="HH794" s="80"/>
      <c r="HI794" s="80"/>
      <c r="HJ794" s="80"/>
      <c r="HK794" s="78"/>
      <c r="HL794" s="79"/>
      <c r="HM794" s="79"/>
      <c r="HN794" s="79"/>
      <c r="HO794" s="79"/>
      <c r="HP794" s="79"/>
      <c r="HQ794" s="132"/>
    </row>
    <row r="795" spans="1:225" s="77" customFormat="1" ht="47.25" x14ac:dyDescent="0.25">
      <c r="A795" s="267" t="s">
        <v>1110</v>
      </c>
      <c r="B795" s="497" t="s">
        <v>76</v>
      </c>
      <c r="C795" s="496" t="s">
        <v>18</v>
      </c>
      <c r="D795" s="497" t="s">
        <v>25</v>
      </c>
      <c r="E795" s="285" t="s">
        <v>416</v>
      </c>
      <c r="F795" s="497" t="s">
        <v>9</v>
      </c>
      <c r="G795" s="283">
        <f t="shared" ref="G795:R795" si="384">G796+G799</f>
        <v>9302.9</v>
      </c>
      <c r="H795" s="304">
        <f t="shared" si="384"/>
        <v>0</v>
      </c>
      <c r="I795" s="283">
        <f t="shared" si="384"/>
        <v>0</v>
      </c>
      <c r="J795" s="283">
        <f t="shared" si="384"/>
        <v>0</v>
      </c>
      <c r="K795" s="283">
        <f t="shared" si="384"/>
        <v>0</v>
      </c>
      <c r="L795" s="283">
        <f t="shared" si="384"/>
        <v>0</v>
      </c>
      <c r="M795" s="568">
        <f t="shared" si="384"/>
        <v>-500</v>
      </c>
      <c r="N795" s="568">
        <f t="shared" si="384"/>
        <v>0</v>
      </c>
      <c r="O795" s="569">
        <f t="shared" si="384"/>
        <v>0</v>
      </c>
      <c r="P795" s="569">
        <f t="shared" si="384"/>
        <v>0</v>
      </c>
      <c r="Q795" s="569">
        <f t="shared" si="384"/>
        <v>0</v>
      </c>
      <c r="R795" s="569">
        <f t="shared" si="384"/>
        <v>0</v>
      </c>
      <c r="S795" s="132">
        <f t="shared" si="376"/>
        <v>8802.9</v>
      </c>
      <c r="T795" s="80"/>
      <c r="U795" s="80"/>
      <c r="V795" s="80"/>
      <c r="W795" s="80"/>
      <c r="X795" s="80"/>
      <c r="Y795" s="80"/>
      <c r="Z795" s="80"/>
      <c r="AA795" s="80"/>
      <c r="AB795" s="80"/>
      <c r="AC795" s="80"/>
      <c r="AD795" s="80"/>
      <c r="AE795" s="80"/>
      <c r="AF795" s="80"/>
      <c r="AG795" s="80"/>
      <c r="AH795" s="80"/>
      <c r="AI795" s="80"/>
      <c r="AJ795" s="80"/>
      <c r="AK795" s="80"/>
      <c r="AL795" s="80"/>
      <c r="AM795" s="80"/>
      <c r="AN795" s="80"/>
      <c r="AO795" s="80"/>
      <c r="AP795" s="80"/>
      <c r="AQ795" s="80"/>
      <c r="AR795" s="80"/>
      <c r="AS795" s="80"/>
      <c r="AT795" s="80"/>
      <c r="AU795" s="80"/>
      <c r="AV795" s="80"/>
      <c r="AW795" s="80"/>
      <c r="AX795" s="80"/>
      <c r="AY795" s="80"/>
      <c r="AZ795" s="80"/>
      <c r="BA795" s="80"/>
      <c r="BB795" s="80"/>
      <c r="BC795" s="80"/>
      <c r="BD795" s="80"/>
      <c r="BE795" s="80"/>
      <c r="BF795" s="80"/>
      <c r="BG795" s="80"/>
      <c r="BH795" s="80"/>
      <c r="BI795" s="80"/>
      <c r="BJ795" s="80"/>
      <c r="BK795" s="80"/>
      <c r="BL795" s="80"/>
      <c r="BM795" s="80"/>
      <c r="BN795" s="80"/>
      <c r="BO795" s="80"/>
      <c r="BP795" s="80"/>
      <c r="BQ795" s="80"/>
      <c r="BR795" s="80"/>
      <c r="BS795" s="80"/>
      <c r="BT795" s="80"/>
      <c r="BU795" s="80"/>
      <c r="BV795" s="80"/>
      <c r="BW795" s="80"/>
      <c r="BX795" s="80"/>
      <c r="BY795" s="80"/>
      <c r="BZ795" s="80"/>
      <c r="CA795" s="80"/>
      <c r="CB795" s="80"/>
      <c r="CC795" s="80"/>
      <c r="CD795" s="80"/>
      <c r="CE795" s="80"/>
      <c r="CF795" s="80"/>
      <c r="CG795" s="80"/>
      <c r="CH795" s="80"/>
      <c r="CI795" s="80"/>
      <c r="CJ795" s="80"/>
      <c r="CK795" s="80"/>
      <c r="CL795" s="80"/>
      <c r="CM795" s="80"/>
      <c r="CN795" s="80"/>
      <c r="CO795" s="80"/>
      <c r="CP795" s="80"/>
      <c r="CQ795" s="80"/>
      <c r="CR795" s="80"/>
      <c r="CS795" s="80"/>
      <c r="CT795" s="80"/>
      <c r="CU795" s="80"/>
      <c r="CV795" s="80"/>
      <c r="CW795" s="80"/>
      <c r="CX795" s="80"/>
      <c r="CY795" s="80"/>
      <c r="CZ795" s="80"/>
      <c r="DA795" s="80"/>
      <c r="DB795" s="80"/>
      <c r="DC795" s="80"/>
      <c r="DD795" s="80"/>
      <c r="DE795" s="80"/>
      <c r="DF795" s="80"/>
      <c r="DG795" s="80"/>
      <c r="DH795" s="80"/>
      <c r="DI795" s="80"/>
      <c r="DJ795" s="80"/>
      <c r="DK795" s="80"/>
      <c r="DL795" s="80"/>
      <c r="DM795" s="80"/>
      <c r="DN795" s="80"/>
      <c r="DO795" s="80"/>
      <c r="DP795" s="80"/>
      <c r="DQ795" s="80"/>
      <c r="DR795" s="80"/>
      <c r="DS795" s="80"/>
      <c r="DT795" s="80"/>
      <c r="DU795" s="80"/>
      <c r="DV795" s="80"/>
      <c r="DW795" s="80"/>
      <c r="DX795" s="80"/>
      <c r="DY795" s="80"/>
      <c r="DZ795" s="80"/>
      <c r="EA795" s="80"/>
      <c r="EB795" s="80"/>
      <c r="EC795" s="80"/>
      <c r="ED795" s="80"/>
      <c r="EE795" s="80"/>
      <c r="EF795" s="80"/>
      <c r="EG795" s="80"/>
      <c r="EH795" s="80"/>
      <c r="EI795" s="80"/>
      <c r="EJ795" s="80"/>
      <c r="EK795" s="80"/>
      <c r="EL795" s="80"/>
      <c r="EM795" s="80"/>
      <c r="EN795" s="80"/>
      <c r="EO795" s="80"/>
      <c r="EP795" s="80"/>
      <c r="EQ795" s="80"/>
      <c r="ER795" s="80"/>
      <c r="ES795" s="80"/>
      <c r="ET795" s="80"/>
      <c r="EU795" s="80"/>
      <c r="EV795" s="80"/>
      <c r="EW795" s="80"/>
      <c r="EX795" s="80"/>
      <c r="EY795" s="80"/>
      <c r="EZ795" s="80"/>
      <c r="FA795" s="80"/>
      <c r="FB795" s="80"/>
      <c r="FC795" s="80"/>
      <c r="FD795" s="80"/>
      <c r="FE795" s="80"/>
      <c r="FF795" s="80"/>
      <c r="FG795" s="80"/>
      <c r="FH795" s="80"/>
      <c r="FI795" s="80"/>
      <c r="FJ795" s="80"/>
      <c r="FK795" s="80"/>
      <c r="FL795" s="80"/>
      <c r="FM795" s="80"/>
      <c r="FN795" s="80"/>
      <c r="FO795" s="80"/>
      <c r="FP795" s="80"/>
      <c r="FQ795" s="80"/>
      <c r="FR795" s="80"/>
      <c r="FS795" s="80"/>
      <c r="FT795" s="80"/>
      <c r="FU795" s="80"/>
      <c r="FV795" s="80"/>
      <c r="FW795" s="80"/>
      <c r="FX795" s="80"/>
      <c r="FY795" s="80"/>
      <c r="FZ795" s="80"/>
      <c r="GA795" s="80"/>
      <c r="GB795" s="80"/>
      <c r="GC795" s="80"/>
      <c r="GD795" s="80"/>
      <c r="GE795" s="80"/>
      <c r="GF795" s="80"/>
      <c r="GG795" s="80"/>
      <c r="GH795" s="80"/>
      <c r="GI795" s="80"/>
      <c r="GJ795" s="80"/>
      <c r="GK795" s="80"/>
      <c r="GL795" s="80"/>
      <c r="GM795" s="80"/>
      <c r="GN795" s="78"/>
      <c r="GO795" s="79"/>
      <c r="GP795" s="79"/>
      <c r="GQ795" s="79"/>
      <c r="GR795" s="79"/>
      <c r="GS795" s="79"/>
      <c r="GT795" s="132"/>
      <c r="HK795" s="78"/>
      <c r="HL795" s="79"/>
      <c r="HM795" s="79"/>
      <c r="HN795" s="79"/>
      <c r="HO795" s="79"/>
      <c r="HP795" s="79"/>
      <c r="HQ795" s="132"/>
    </row>
    <row r="796" spans="1:225" s="77" customFormat="1" ht="63" x14ac:dyDescent="0.25">
      <c r="A796" s="267" t="s">
        <v>645</v>
      </c>
      <c r="B796" s="497" t="s">
        <v>76</v>
      </c>
      <c r="C796" s="496" t="s">
        <v>18</v>
      </c>
      <c r="D796" s="497" t="s">
        <v>25</v>
      </c>
      <c r="E796" s="285" t="s">
        <v>456</v>
      </c>
      <c r="F796" s="497" t="s">
        <v>9</v>
      </c>
      <c r="G796" s="283">
        <f t="shared" ref="G796:R796" si="385">G797+G798</f>
        <v>9257</v>
      </c>
      <c r="H796" s="304">
        <f t="shared" si="385"/>
        <v>0</v>
      </c>
      <c r="I796" s="283">
        <f t="shared" si="385"/>
        <v>0</v>
      </c>
      <c r="J796" s="283">
        <f t="shared" si="385"/>
        <v>0</v>
      </c>
      <c r="K796" s="283">
        <f t="shared" si="385"/>
        <v>0</v>
      </c>
      <c r="L796" s="283">
        <f t="shared" si="385"/>
        <v>0</v>
      </c>
      <c r="M796" s="568">
        <f t="shared" si="385"/>
        <v>-500</v>
      </c>
      <c r="N796" s="568">
        <f t="shared" si="385"/>
        <v>0</v>
      </c>
      <c r="O796" s="569">
        <f t="shared" si="385"/>
        <v>0</v>
      </c>
      <c r="P796" s="569">
        <f t="shared" si="385"/>
        <v>0</v>
      </c>
      <c r="Q796" s="569">
        <f t="shared" si="385"/>
        <v>0</v>
      </c>
      <c r="R796" s="569">
        <f t="shared" si="385"/>
        <v>0</v>
      </c>
      <c r="S796" s="132">
        <f t="shared" si="376"/>
        <v>8757</v>
      </c>
      <c r="HK796" s="74"/>
      <c r="HL796" s="75"/>
      <c r="HM796" s="75"/>
      <c r="HN796" s="75"/>
      <c r="HO796" s="75"/>
      <c r="HP796" s="75"/>
      <c r="HQ796" s="131"/>
    </row>
    <row r="797" spans="1:225" s="77" customFormat="1" ht="31.5" x14ac:dyDescent="0.25">
      <c r="A797" s="264" t="s">
        <v>124</v>
      </c>
      <c r="B797" s="380" t="s">
        <v>76</v>
      </c>
      <c r="C797" s="488" t="s">
        <v>18</v>
      </c>
      <c r="D797" s="380" t="s">
        <v>25</v>
      </c>
      <c r="E797" s="265" t="s">
        <v>456</v>
      </c>
      <c r="F797" s="380" t="s">
        <v>117</v>
      </c>
      <c r="G797" s="364">
        <v>181</v>
      </c>
      <c r="H797" s="303"/>
      <c r="I797" s="265"/>
      <c r="J797" s="265"/>
      <c r="K797" s="265"/>
      <c r="L797" s="265"/>
      <c r="M797" s="570"/>
      <c r="N797" s="570"/>
      <c r="O797" s="571"/>
      <c r="P797" s="571"/>
      <c r="Q797" s="571"/>
      <c r="R797" s="571"/>
      <c r="S797" s="566">
        <f t="shared" si="376"/>
        <v>181</v>
      </c>
      <c r="T797" s="80"/>
      <c r="U797" s="80"/>
      <c r="V797" s="80"/>
      <c r="W797" s="80"/>
      <c r="X797" s="80"/>
      <c r="Y797" s="80"/>
      <c r="Z797" s="80"/>
      <c r="AA797" s="80"/>
      <c r="AB797" s="80"/>
      <c r="AC797" s="80"/>
      <c r="AD797" s="80"/>
      <c r="AE797" s="80"/>
      <c r="AF797" s="80"/>
      <c r="AG797" s="80"/>
      <c r="AH797" s="80"/>
      <c r="AI797" s="80"/>
      <c r="AJ797" s="80"/>
      <c r="AK797" s="80"/>
      <c r="AL797" s="80"/>
      <c r="AM797" s="80"/>
      <c r="AN797" s="80"/>
      <c r="AO797" s="80"/>
      <c r="AP797" s="80"/>
      <c r="AQ797" s="80"/>
      <c r="AR797" s="80"/>
      <c r="AS797" s="80"/>
      <c r="AT797" s="80"/>
      <c r="AU797" s="80"/>
      <c r="AV797" s="80"/>
      <c r="AW797" s="80"/>
      <c r="AX797" s="80"/>
      <c r="AY797" s="80"/>
      <c r="AZ797" s="80"/>
      <c r="BA797" s="80"/>
      <c r="BB797" s="80"/>
      <c r="BC797" s="80"/>
      <c r="BD797" s="80"/>
      <c r="BE797" s="80"/>
      <c r="BF797" s="80"/>
      <c r="BG797" s="80"/>
      <c r="BH797" s="80"/>
      <c r="BI797" s="80"/>
      <c r="BJ797" s="80"/>
      <c r="BK797" s="80"/>
      <c r="BL797" s="80"/>
      <c r="BM797" s="80"/>
      <c r="BN797" s="80"/>
      <c r="BO797" s="80"/>
      <c r="BP797" s="80"/>
      <c r="BQ797" s="80"/>
      <c r="BR797" s="80"/>
      <c r="BS797" s="80"/>
      <c r="BT797" s="80"/>
      <c r="BU797" s="80"/>
      <c r="BV797" s="80"/>
      <c r="BW797" s="80"/>
      <c r="BX797" s="80"/>
      <c r="BY797" s="80"/>
      <c r="BZ797" s="80"/>
      <c r="CA797" s="80"/>
      <c r="CB797" s="80"/>
      <c r="CC797" s="80"/>
      <c r="CD797" s="80"/>
      <c r="CE797" s="80"/>
      <c r="CF797" s="80"/>
      <c r="CG797" s="80"/>
      <c r="CH797" s="80"/>
      <c r="CI797" s="80"/>
      <c r="CJ797" s="80"/>
      <c r="CK797" s="80"/>
      <c r="CL797" s="80"/>
      <c r="CM797" s="80"/>
      <c r="CN797" s="80"/>
      <c r="CO797" s="80"/>
      <c r="CP797" s="80"/>
      <c r="CQ797" s="80"/>
      <c r="CR797" s="80"/>
      <c r="CS797" s="80"/>
      <c r="CT797" s="80"/>
      <c r="CU797" s="80"/>
      <c r="CV797" s="80"/>
      <c r="CW797" s="80"/>
      <c r="CX797" s="80"/>
      <c r="CY797" s="80"/>
      <c r="CZ797" s="80"/>
      <c r="DA797" s="80"/>
      <c r="DB797" s="80"/>
      <c r="DC797" s="80"/>
      <c r="DD797" s="80"/>
      <c r="DE797" s="80"/>
      <c r="DF797" s="80"/>
      <c r="DG797" s="80"/>
      <c r="DH797" s="80"/>
      <c r="DI797" s="80"/>
      <c r="DJ797" s="80"/>
      <c r="DK797" s="80"/>
      <c r="DL797" s="80"/>
      <c r="DM797" s="80"/>
      <c r="DN797" s="80"/>
      <c r="DO797" s="80"/>
      <c r="DP797" s="80"/>
      <c r="DQ797" s="80"/>
      <c r="DR797" s="80"/>
      <c r="DS797" s="80"/>
      <c r="DT797" s="80"/>
      <c r="DU797" s="80"/>
      <c r="DV797" s="80"/>
      <c r="DW797" s="80"/>
      <c r="DX797" s="80"/>
      <c r="DY797" s="80"/>
      <c r="DZ797" s="80"/>
      <c r="EA797" s="80"/>
      <c r="EB797" s="80"/>
      <c r="EC797" s="80"/>
      <c r="ED797" s="80"/>
      <c r="EE797" s="80"/>
      <c r="EF797" s="80"/>
      <c r="EG797" s="80"/>
      <c r="EH797" s="80"/>
      <c r="EI797" s="80"/>
      <c r="EJ797" s="80"/>
      <c r="EK797" s="80"/>
      <c r="EL797" s="80"/>
      <c r="EM797" s="80"/>
      <c r="EN797" s="80"/>
      <c r="EO797" s="80"/>
      <c r="EP797" s="80"/>
      <c r="EQ797" s="80"/>
      <c r="ER797" s="80"/>
      <c r="ES797" s="80"/>
      <c r="ET797" s="80"/>
      <c r="EU797" s="80"/>
      <c r="EV797" s="80"/>
      <c r="EW797" s="80"/>
      <c r="EX797" s="80"/>
      <c r="EY797" s="80"/>
      <c r="EZ797" s="80"/>
      <c r="FA797" s="80"/>
      <c r="FB797" s="80"/>
      <c r="FC797" s="80"/>
      <c r="FD797" s="80"/>
      <c r="FE797" s="80"/>
      <c r="FF797" s="80"/>
      <c r="FG797" s="80"/>
      <c r="FH797" s="80"/>
      <c r="FI797" s="80"/>
      <c r="FJ797" s="80"/>
      <c r="FK797" s="80"/>
      <c r="FL797" s="80"/>
      <c r="FM797" s="80"/>
      <c r="FN797" s="80"/>
      <c r="FO797" s="80"/>
      <c r="FP797" s="80"/>
      <c r="FQ797" s="80"/>
      <c r="FR797" s="80"/>
      <c r="FS797" s="80"/>
      <c r="FT797" s="80"/>
      <c r="FU797" s="80"/>
      <c r="FV797" s="80"/>
      <c r="FW797" s="80"/>
      <c r="FX797" s="80"/>
      <c r="FY797" s="80"/>
      <c r="FZ797" s="80"/>
      <c r="GA797" s="80"/>
      <c r="GB797" s="80"/>
      <c r="GC797" s="80"/>
      <c r="GD797" s="80"/>
      <c r="GE797" s="80"/>
      <c r="GF797" s="80"/>
      <c r="GG797" s="80"/>
      <c r="GH797" s="80"/>
      <c r="GI797" s="80"/>
      <c r="GJ797" s="80"/>
      <c r="GK797" s="80"/>
      <c r="GL797" s="78"/>
      <c r="GM797" s="79"/>
      <c r="GN797" s="79"/>
      <c r="GO797" s="79"/>
      <c r="GP797" s="79"/>
      <c r="GQ797" s="79"/>
      <c r="GR797" s="132"/>
      <c r="HI797" s="78"/>
      <c r="HJ797" s="79"/>
      <c r="HK797" s="79"/>
      <c r="HL797" s="79"/>
      <c r="HM797" s="79"/>
      <c r="HN797" s="79"/>
      <c r="HO797" s="132"/>
    </row>
    <row r="798" spans="1:225" s="77" customFormat="1" x14ac:dyDescent="0.25">
      <c r="A798" s="264" t="s">
        <v>125</v>
      </c>
      <c r="B798" s="380" t="s">
        <v>76</v>
      </c>
      <c r="C798" s="488" t="s">
        <v>18</v>
      </c>
      <c r="D798" s="380" t="s">
        <v>25</v>
      </c>
      <c r="E798" s="265" t="s">
        <v>456</v>
      </c>
      <c r="F798" s="380" t="s">
        <v>118</v>
      </c>
      <c r="G798" s="365">
        <v>9076</v>
      </c>
      <c r="H798" s="303"/>
      <c r="I798" s="265"/>
      <c r="J798" s="265"/>
      <c r="K798" s="265"/>
      <c r="L798" s="265"/>
      <c r="M798" s="602">
        <v>-500</v>
      </c>
      <c r="N798" s="570"/>
      <c r="O798" s="571"/>
      <c r="P798" s="571"/>
      <c r="Q798" s="571"/>
      <c r="R798" s="571"/>
      <c r="S798" s="566">
        <f t="shared" si="376"/>
        <v>8576</v>
      </c>
      <c r="HI798" s="74"/>
      <c r="HJ798" s="75"/>
      <c r="HK798" s="75"/>
      <c r="HL798" s="75"/>
      <c r="HM798" s="75"/>
      <c r="HN798" s="75"/>
      <c r="HO798" s="131"/>
    </row>
    <row r="799" spans="1:225" s="80" customFormat="1" ht="78.75" x14ac:dyDescent="0.25">
      <c r="A799" s="267" t="s">
        <v>1109</v>
      </c>
      <c r="B799" s="497" t="s">
        <v>76</v>
      </c>
      <c r="C799" s="496" t="s">
        <v>18</v>
      </c>
      <c r="D799" s="497" t="s">
        <v>25</v>
      </c>
      <c r="E799" s="285" t="s">
        <v>457</v>
      </c>
      <c r="F799" s="497" t="s">
        <v>9</v>
      </c>
      <c r="G799" s="283">
        <f t="shared" ref="G799:R800" si="386">G800</f>
        <v>45.9</v>
      </c>
      <c r="H799" s="304">
        <f t="shared" si="386"/>
        <v>0</v>
      </c>
      <c r="I799" s="283">
        <f t="shared" si="386"/>
        <v>0</v>
      </c>
      <c r="J799" s="283">
        <f t="shared" si="386"/>
        <v>0</v>
      </c>
      <c r="K799" s="283">
        <f t="shared" si="386"/>
        <v>0</v>
      </c>
      <c r="L799" s="283">
        <f t="shared" si="386"/>
        <v>0</v>
      </c>
      <c r="M799" s="568">
        <f t="shared" si="386"/>
        <v>0</v>
      </c>
      <c r="N799" s="568">
        <f t="shared" si="386"/>
        <v>0</v>
      </c>
      <c r="O799" s="569">
        <f t="shared" si="386"/>
        <v>0</v>
      </c>
      <c r="P799" s="569">
        <f t="shared" si="386"/>
        <v>0</v>
      </c>
      <c r="Q799" s="569">
        <f t="shared" si="386"/>
        <v>0</v>
      </c>
      <c r="R799" s="569">
        <f t="shared" si="386"/>
        <v>0</v>
      </c>
      <c r="S799" s="132">
        <f t="shared" si="376"/>
        <v>45.9</v>
      </c>
      <c r="HI799" s="195"/>
      <c r="HJ799" s="400"/>
      <c r="HK799" s="400"/>
      <c r="HL799" s="400"/>
      <c r="HM799" s="400"/>
      <c r="HN799" s="400"/>
      <c r="HO799" s="196"/>
    </row>
    <row r="800" spans="1:225" s="77" customFormat="1" x14ac:dyDescent="0.25">
      <c r="A800" s="267" t="s">
        <v>462</v>
      </c>
      <c r="B800" s="497" t="s">
        <v>76</v>
      </c>
      <c r="C800" s="496" t="s">
        <v>18</v>
      </c>
      <c r="D800" s="497" t="s">
        <v>25</v>
      </c>
      <c r="E800" s="285" t="s">
        <v>461</v>
      </c>
      <c r="F800" s="497" t="s">
        <v>9</v>
      </c>
      <c r="G800" s="283">
        <f t="shared" si="386"/>
        <v>45.9</v>
      </c>
      <c r="H800" s="304">
        <f t="shared" si="386"/>
        <v>0</v>
      </c>
      <c r="I800" s="283">
        <f t="shared" si="386"/>
        <v>0</v>
      </c>
      <c r="J800" s="283">
        <f t="shared" si="386"/>
        <v>0</v>
      </c>
      <c r="K800" s="283">
        <f t="shared" si="386"/>
        <v>0</v>
      </c>
      <c r="L800" s="283">
        <f t="shared" si="386"/>
        <v>0</v>
      </c>
      <c r="M800" s="568">
        <f t="shared" si="386"/>
        <v>0</v>
      </c>
      <c r="N800" s="568">
        <f t="shared" si="386"/>
        <v>0</v>
      </c>
      <c r="O800" s="569">
        <f t="shared" si="386"/>
        <v>0</v>
      </c>
      <c r="P800" s="569">
        <f t="shared" si="386"/>
        <v>0</v>
      </c>
      <c r="Q800" s="569">
        <f t="shared" si="386"/>
        <v>0</v>
      </c>
      <c r="R800" s="569">
        <f t="shared" si="386"/>
        <v>0</v>
      </c>
      <c r="S800" s="132">
        <f t="shared" si="376"/>
        <v>45.9</v>
      </c>
      <c r="HI800" s="192"/>
      <c r="HJ800" s="193"/>
      <c r="HK800" s="193"/>
      <c r="HL800" s="193"/>
      <c r="HM800" s="193"/>
      <c r="HN800" s="193"/>
      <c r="HO800" s="194"/>
    </row>
    <row r="801" spans="1:223" s="80" customFormat="1" ht="31.5" x14ac:dyDescent="0.25">
      <c r="A801" s="264" t="s">
        <v>124</v>
      </c>
      <c r="B801" s="380" t="s">
        <v>76</v>
      </c>
      <c r="C801" s="488" t="s">
        <v>18</v>
      </c>
      <c r="D801" s="380" t="s">
        <v>25</v>
      </c>
      <c r="E801" s="265" t="s">
        <v>461</v>
      </c>
      <c r="F801" s="380" t="s">
        <v>117</v>
      </c>
      <c r="G801" s="365">
        <v>45.9</v>
      </c>
      <c r="H801" s="303"/>
      <c r="I801" s="265"/>
      <c r="J801" s="265"/>
      <c r="K801" s="265"/>
      <c r="L801" s="265"/>
      <c r="M801" s="570"/>
      <c r="N801" s="570"/>
      <c r="O801" s="571"/>
      <c r="P801" s="571"/>
      <c r="Q801" s="571"/>
      <c r="R801" s="571"/>
      <c r="S801" s="566">
        <f t="shared" si="376"/>
        <v>45.9</v>
      </c>
      <c r="HI801" s="195"/>
      <c r="HJ801" s="400"/>
      <c r="HK801" s="400"/>
      <c r="HL801" s="400"/>
      <c r="HM801" s="400"/>
      <c r="HN801" s="400"/>
      <c r="HO801" s="196"/>
    </row>
    <row r="802" spans="1:223" s="77" customFormat="1" ht="15.6" hidden="1" x14ac:dyDescent="0.3">
      <c r="A802" s="267" t="s">
        <v>127</v>
      </c>
      <c r="B802" s="497" t="s">
        <v>76</v>
      </c>
      <c r="C802" s="496" t="s">
        <v>18</v>
      </c>
      <c r="D802" s="497" t="s">
        <v>25</v>
      </c>
      <c r="E802" s="285" t="s">
        <v>419</v>
      </c>
      <c r="F802" s="497" t="s">
        <v>9</v>
      </c>
      <c r="G802" s="282">
        <f t="shared" ref="G802:R803" si="387">G803</f>
        <v>0</v>
      </c>
      <c r="H802" s="303">
        <f t="shared" si="387"/>
        <v>0</v>
      </c>
      <c r="I802" s="282">
        <f t="shared" si="387"/>
        <v>0</v>
      </c>
      <c r="J802" s="282">
        <f t="shared" si="387"/>
        <v>0</v>
      </c>
      <c r="K802" s="282">
        <f t="shared" si="387"/>
        <v>0</v>
      </c>
      <c r="L802" s="282">
        <f t="shared" si="387"/>
        <v>0</v>
      </c>
      <c r="M802" s="566">
        <f t="shared" si="387"/>
        <v>0</v>
      </c>
      <c r="N802" s="566">
        <f t="shared" si="387"/>
        <v>0</v>
      </c>
      <c r="O802" s="567">
        <f t="shared" si="387"/>
        <v>0</v>
      </c>
      <c r="P802" s="567">
        <f t="shared" si="387"/>
        <v>0</v>
      </c>
      <c r="Q802" s="567">
        <f t="shared" si="387"/>
        <v>0</v>
      </c>
      <c r="R802" s="567">
        <f t="shared" si="387"/>
        <v>0</v>
      </c>
      <c r="S802" s="131">
        <f t="shared" si="376"/>
        <v>0</v>
      </c>
      <c r="HI802" s="192"/>
      <c r="HJ802" s="193"/>
      <c r="HK802" s="193"/>
      <c r="HL802" s="193"/>
      <c r="HM802" s="193"/>
      <c r="HN802" s="193"/>
      <c r="HO802" s="194"/>
    </row>
    <row r="803" spans="1:223" s="80" customFormat="1" ht="31.15" hidden="1" x14ac:dyDescent="0.3">
      <c r="A803" s="267" t="s">
        <v>364</v>
      </c>
      <c r="B803" s="497" t="s">
        <v>76</v>
      </c>
      <c r="C803" s="496" t="s">
        <v>18</v>
      </c>
      <c r="D803" s="497" t="s">
        <v>25</v>
      </c>
      <c r="E803" s="285" t="s">
        <v>420</v>
      </c>
      <c r="F803" s="497" t="s">
        <v>9</v>
      </c>
      <c r="G803" s="283">
        <f t="shared" si="387"/>
        <v>0</v>
      </c>
      <c r="H803" s="304">
        <f t="shared" si="387"/>
        <v>0</v>
      </c>
      <c r="I803" s="283">
        <f t="shared" si="387"/>
        <v>0</v>
      </c>
      <c r="J803" s="283">
        <f t="shared" si="387"/>
        <v>0</v>
      </c>
      <c r="K803" s="283">
        <f t="shared" si="387"/>
        <v>0</v>
      </c>
      <c r="L803" s="283">
        <f t="shared" si="387"/>
        <v>0</v>
      </c>
      <c r="M803" s="568">
        <f t="shared" si="387"/>
        <v>0</v>
      </c>
      <c r="N803" s="568">
        <f t="shared" si="387"/>
        <v>0</v>
      </c>
      <c r="O803" s="569">
        <f t="shared" si="387"/>
        <v>0</v>
      </c>
      <c r="P803" s="569">
        <f t="shared" si="387"/>
        <v>0</v>
      </c>
      <c r="Q803" s="569">
        <f t="shared" si="387"/>
        <v>0</v>
      </c>
      <c r="R803" s="569">
        <f t="shared" si="387"/>
        <v>0</v>
      </c>
      <c r="S803" s="132">
        <f t="shared" si="376"/>
        <v>0</v>
      </c>
    </row>
    <row r="804" spans="1:223" s="77" customFormat="1" ht="62.45" hidden="1" x14ac:dyDescent="0.3">
      <c r="A804" s="495" t="s">
        <v>115</v>
      </c>
      <c r="B804" s="380" t="s">
        <v>76</v>
      </c>
      <c r="C804" s="488" t="s">
        <v>18</v>
      </c>
      <c r="D804" s="380" t="s">
        <v>25</v>
      </c>
      <c r="E804" s="265" t="s">
        <v>420</v>
      </c>
      <c r="F804" s="380" t="s">
        <v>113</v>
      </c>
      <c r="G804" s="282"/>
      <c r="H804" s="303"/>
      <c r="I804" s="265"/>
      <c r="J804" s="265"/>
      <c r="K804" s="265"/>
      <c r="L804" s="265"/>
      <c r="M804" s="570"/>
      <c r="N804" s="570"/>
      <c r="O804" s="571"/>
      <c r="P804" s="571"/>
      <c r="Q804" s="571"/>
      <c r="R804" s="571"/>
      <c r="S804" s="131">
        <f t="shared" si="376"/>
        <v>0</v>
      </c>
    </row>
    <row r="805" spans="1:223" s="80" customFormat="1" ht="31.5" x14ac:dyDescent="0.25">
      <c r="A805" s="267" t="s">
        <v>568</v>
      </c>
      <c r="B805" s="497" t="s">
        <v>76</v>
      </c>
      <c r="C805" s="496" t="s">
        <v>18</v>
      </c>
      <c r="D805" s="497" t="s">
        <v>25</v>
      </c>
      <c r="E805" s="285" t="s">
        <v>421</v>
      </c>
      <c r="F805" s="497" t="s">
        <v>9</v>
      </c>
      <c r="G805" s="283">
        <f>G808+G810+G812+G806</f>
        <v>0</v>
      </c>
      <c r="H805" s="283">
        <f t="shared" ref="H805:R805" si="388">H808+H810+H812+H806</f>
        <v>0</v>
      </c>
      <c r="I805" s="283">
        <f t="shared" si="388"/>
        <v>0</v>
      </c>
      <c r="J805" s="283">
        <f t="shared" si="388"/>
        <v>0</v>
      </c>
      <c r="K805" s="283">
        <f t="shared" si="388"/>
        <v>0</v>
      </c>
      <c r="L805" s="283">
        <f t="shared" si="388"/>
        <v>0</v>
      </c>
      <c r="M805" s="132">
        <f t="shared" si="388"/>
        <v>75</v>
      </c>
      <c r="N805" s="568">
        <f t="shared" si="388"/>
        <v>81</v>
      </c>
      <c r="O805" s="132">
        <f t="shared" si="388"/>
        <v>0</v>
      </c>
      <c r="P805" s="132">
        <f t="shared" si="388"/>
        <v>0</v>
      </c>
      <c r="Q805" s="132">
        <f t="shared" si="388"/>
        <v>0</v>
      </c>
      <c r="R805" s="132">
        <f t="shared" si="388"/>
        <v>0</v>
      </c>
      <c r="S805" s="132">
        <f t="shared" si="376"/>
        <v>156</v>
      </c>
    </row>
    <row r="806" spans="1:223" s="80" customFormat="1" x14ac:dyDescent="0.25">
      <c r="A806" s="78" t="s">
        <v>79</v>
      </c>
      <c r="B806" s="545" t="s">
        <v>76</v>
      </c>
      <c r="C806" s="545" t="s">
        <v>18</v>
      </c>
      <c r="D806" s="545" t="s">
        <v>25</v>
      </c>
      <c r="E806" s="545" t="s">
        <v>429</v>
      </c>
      <c r="F806" s="545" t="s">
        <v>9</v>
      </c>
      <c r="G806" s="283">
        <f>G807</f>
        <v>0</v>
      </c>
      <c r="H806" s="283">
        <f t="shared" ref="H806:R806" si="389">H807</f>
        <v>0</v>
      </c>
      <c r="I806" s="283">
        <f t="shared" si="389"/>
        <v>0</v>
      </c>
      <c r="J806" s="283">
        <f t="shared" si="389"/>
        <v>0</v>
      </c>
      <c r="K806" s="283">
        <f t="shared" si="389"/>
        <v>0</v>
      </c>
      <c r="L806" s="283">
        <f t="shared" si="389"/>
        <v>0</v>
      </c>
      <c r="M806" s="132">
        <f t="shared" si="389"/>
        <v>75</v>
      </c>
      <c r="N806" s="568">
        <f t="shared" si="389"/>
        <v>81</v>
      </c>
      <c r="O806" s="132">
        <f t="shared" si="389"/>
        <v>0</v>
      </c>
      <c r="P806" s="132">
        <f t="shared" si="389"/>
        <v>0</v>
      </c>
      <c r="Q806" s="132">
        <f t="shared" si="389"/>
        <v>0</v>
      </c>
      <c r="R806" s="132">
        <f t="shared" si="389"/>
        <v>0</v>
      </c>
      <c r="S806" s="132">
        <f t="shared" si="376"/>
        <v>156</v>
      </c>
    </row>
    <row r="807" spans="1:223" s="77" customFormat="1" x14ac:dyDescent="0.25">
      <c r="A807" s="264" t="s">
        <v>125</v>
      </c>
      <c r="B807" s="75" t="s">
        <v>76</v>
      </c>
      <c r="C807" s="75" t="s">
        <v>18</v>
      </c>
      <c r="D807" s="75" t="s">
        <v>25</v>
      </c>
      <c r="E807" s="75" t="s">
        <v>429</v>
      </c>
      <c r="F807" s="75" t="s">
        <v>118</v>
      </c>
      <c r="G807" s="282"/>
      <c r="H807" s="303"/>
      <c r="I807" s="282"/>
      <c r="J807" s="282"/>
      <c r="K807" s="282"/>
      <c r="L807" s="282"/>
      <c r="M807" s="578">
        <v>75</v>
      </c>
      <c r="N807" s="654">
        <f>14+67</f>
        <v>81</v>
      </c>
      <c r="O807" s="567"/>
      <c r="P807" s="567"/>
      <c r="Q807" s="567"/>
      <c r="R807" s="567"/>
      <c r="S807" s="566">
        <f t="shared" si="376"/>
        <v>156</v>
      </c>
    </row>
    <row r="808" spans="1:223" s="77" customFormat="1" ht="15.6" hidden="1" x14ac:dyDescent="0.3">
      <c r="A808" s="267" t="s">
        <v>26</v>
      </c>
      <c r="B808" s="497" t="s">
        <v>76</v>
      </c>
      <c r="C808" s="496" t="s">
        <v>18</v>
      </c>
      <c r="D808" s="497" t="s">
        <v>25</v>
      </c>
      <c r="E808" s="285" t="s">
        <v>422</v>
      </c>
      <c r="F808" s="497" t="s">
        <v>9</v>
      </c>
      <c r="G808" s="283">
        <f t="shared" ref="G808:R808" si="390">G809</f>
        <v>0</v>
      </c>
      <c r="H808" s="304">
        <f t="shared" si="390"/>
        <v>0</v>
      </c>
      <c r="I808" s="283">
        <f t="shared" si="390"/>
        <v>0</v>
      </c>
      <c r="J808" s="283">
        <f t="shared" si="390"/>
        <v>0</v>
      </c>
      <c r="K808" s="283">
        <f t="shared" si="390"/>
        <v>0</v>
      </c>
      <c r="L808" s="283">
        <f t="shared" si="390"/>
        <v>0</v>
      </c>
      <c r="M808" s="568">
        <f t="shared" si="390"/>
        <v>0</v>
      </c>
      <c r="N808" s="568">
        <f t="shared" si="390"/>
        <v>0</v>
      </c>
      <c r="O808" s="569">
        <f t="shared" si="390"/>
        <v>0</v>
      </c>
      <c r="P808" s="569">
        <f t="shared" si="390"/>
        <v>0</v>
      </c>
      <c r="Q808" s="569">
        <f t="shared" si="390"/>
        <v>0</v>
      </c>
      <c r="R808" s="569">
        <f t="shared" si="390"/>
        <v>0</v>
      </c>
      <c r="S808" s="132">
        <f t="shared" si="376"/>
        <v>0</v>
      </c>
    </row>
    <row r="809" spans="1:223" s="77" customFormat="1" ht="62.45" hidden="1" x14ac:dyDescent="0.3">
      <c r="A809" s="264" t="s">
        <v>115</v>
      </c>
      <c r="B809" s="380" t="s">
        <v>76</v>
      </c>
      <c r="C809" s="488" t="s">
        <v>18</v>
      </c>
      <c r="D809" s="380" t="s">
        <v>25</v>
      </c>
      <c r="E809" s="265" t="s">
        <v>422</v>
      </c>
      <c r="F809" s="380" t="s">
        <v>113</v>
      </c>
      <c r="G809" s="282"/>
      <c r="H809" s="303"/>
      <c r="I809" s="265"/>
      <c r="J809" s="265"/>
      <c r="K809" s="265"/>
      <c r="L809" s="265"/>
      <c r="M809" s="570"/>
      <c r="N809" s="570"/>
      <c r="O809" s="571"/>
      <c r="P809" s="571"/>
      <c r="Q809" s="571"/>
      <c r="R809" s="571"/>
      <c r="S809" s="131">
        <f t="shared" si="376"/>
        <v>0</v>
      </c>
    </row>
    <row r="810" spans="1:223" s="77" customFormat="1" ht="15.6" hidden="1" x14ac:dyDescent="0.3">
      <c r="A810" s="267" t="s">
        <v>129</v>
      </c>
      <c r="B810" s="497" t="s">
        <v>76</v>
      </c>
      <c r="C810" s="496" t="s">
        <v>18</v>
      </c>
      <c r="D810" s="497" t="s">
        <v>25</v>
      </c>
      <c r="E810" s="285" t="s">
        <v>430</v>
      </c>
      <c r="F810" s="497" t="s">
        <v>9</v>
      </c>
      <c r="G810" s="283">
        <f t="shared" ref="G810:R810" si="391">G811</f>
        <v>0</v>
      </c>
      <c r="H810" s="304">
        <f t="shared" si="391"/>
        <v>0</v>
      </c>
      <c r="I810" s="283">
        <f t="shared" si="391"/>
        <v>0</v>
      </c>
      <c r="J810" s="283">
        <f t="shared" si="391"/>
        <v>0</v>
      </c>
      <c r="K810" s="283">
        <f t="shared" si="391"/>
        <v>0</v>
      </c>
      <c r="L810" s="283">
        <f t="shared" si="391"/>
        <v>0</v>
      </c>
      <c r="M810" s="568">
        <f t="shared" si="391"/>
        <v>0</v>
      </c>
      <c r="N810" s="568">
        <f t="shared" si="391"/>
        <v>0</v>
      </c>
      <c r="O810" s="569">
        <f t="shared" si="391"/>
        <v>0</v>
      </c>
      <c r="P810" s="569">
        <f t="shared" si="391"/>
        <v>0</v>
      </c>
      <c r="Q810" s="569">
        <f t="shared" si="391"/>
        <v>0</v>
      </c>
      <c r="R810" s="569">
        <f t="shared" si="391"/>
        <v>0</v>
      </c>
      <c r="S810" s="132">
        <f t="shared" si="376"/>
        <v>0</v>
      </c>
    </row>
    <row r="811" spans="1:223" s="77" customFormat="1" ht="62.45" hidden="1" x14ac:dyDescent="0.3">
      <c r="A811" s="264" t="s">
        <v>115</v>
      </c>
      <c r="B811" s="380" t="s">
        <v>76</v>
      </c>
      <c r="C811" s="488" t="s">
        <v>18</v>
      </c>
      <c r="D811" s="380" t="s">
        <v>25</v>
      </c>
      <c r="E811" s="265" t="s">
        <v>430</v>
      </c>
      <c r="F811" s="380" t="s">
        <v>113</v>
      </c>
      <c r="G811" s="282"/>
      <c r="H811" s="303"/>
      <c r="I811" s="265"/>
      <c r="J811" s="265"/>
      <c r="K811" s="265"/>
      <c r="L811" s="265"/>
      <c r="M811" s="570"/>
      <c r="N811" s="570"/>
      <c r="O811" s="571"/>
      <c r="P811" s="571"/>
      <c r="Q811" s="571"/>
      <c r="R811" s="571"/>
      <c r="S811" s="131">
        <f t="shared" si="376"/>
        <v>0</v>
      </c>
    </row>
    <row r="812" spans="1:223" s="77" customFormat="1" ht="15.6" hidden="1" x14ac:dyDescent="0.3">
      <c r="A812" s="267" t="s">
        <v>354</v>
      </c>
      <c r="B812" s="497" t="s">
        <v>76</v>
      </c>
      <c r="C812" s="496" t="s">
        <v>18</v>
      </c>
      <c r="D812" s="497" t="s">
        <v>25</v>
      </c>
      <c r="E812" s="285" t="s">
        <v>431</v>
      </c>
      <c r="F812" s="497" t="s">
        <v>9</v>
      </c>
      <c r="G812" s="283">
        <f t="shared" ref="G812:R812" si="392">G813</f>
        <v>0</v>
      </c>
      <c r="H812" s="304">
        <f t="shared" si="392"/>
        <v>0</v>
      </c>
      <c r="I812" s="283">
        <f t="shared" si="392"/>
        <v>0</v>
      </c>
      <c r="J812" s="283">
        <f t="shared" si="392"/>
        <v>0</v>
      </c>
      <c r="K812" s="283">
        <f t="shared" si="392"/>
        <v>0</v>
      </c>
      <c r="L812" s="283">
        <f t="shared" si="392"/>
        <v>0</v>
      </c>
      <c r="M812" s="568">
        <f t="shared" si="392"/>
        <v>0</v>
      </c>
      <c r="N812" s="568">
        <f t="shared" si="392"/>
        <v>0</v>
      </c>
      <c r="O812" s="569">
        <f t="shared" si="392"/>
        <v>0</v>
      </c>
      <c r="P812" s="569">
        <f t="shared" si="392"/>
        <v>0</v>
      </c>
      <c r="Q812" s="569">
        <f t="shared" si="392"/>
        <v>0</v>
      </c>
      <c r="R812" s="569">
        <f t="shared" si="392"/>
        <v>0</v>
      </c>
      <c r="S812" s="132">
        <f t="shared" si="376"/>
        <v>0</v>
      </c>
    </row>
    <row r="813" spans="1:223" s="80" customFormat="1" ht="62.45" hidden="1" x14ac:dyDescent="0.3">
      <c r="A813" s="264" t="s">
        <v>115</v>
      </c>
      <c r="B813" s="380" t="s">
        <v>76</v>
      </c>
      <c r="C813" s="488" t="s">
        <v>18</v>
      </c>
      <c r="D813" s="380" t="s">
        <v>25</v>
      </c>
      <c r="E813" s="265" t="s">
        <v>431</v>
      </c>
      <c r="F813" s="380" t="s">
        <v>113</v>
      </c>
      <c r="G813" s="282"/>
      <c r="H813" s="303"/>
      <c r="I813" s="265"/>
      <c r="J813" s="265"/>
      <c r="K813" s="265"/>
      <c r="L813" s="265"/>
      <c r="M813" s="570"/>
      <c r="N813" s="570"/>
      <c r="O813" s="571"/>
      <c r="P813" s="571"/>
      <c r="Q813" s="571"/>
      <c r="R813" s="571"/>
      <c r="S813" s="131">
        <f t="shared" si="376"/>
        <v>0</v>
      </c>
    </row>
    <row r="814" spans="1:223" s="80" customFormat="1" ht="15.6" hidden="1" x14ac:dyDescent="0.3">
      <c r="A814" s="267" t="s">
        <v>201</v>
      </c>
      <c r="B814" s="497" t="s">
        <v>76</v>
      </c>
      <c r="C814" s="496" t="s">
        <v>18</v>
      </c>
      <c r="D814" s="497" t="s">
        <v>25</v>
      </c>
      <c r="E814" s="285" t="s">
        <v>817</v>
      </c>
      <c r="F814" s="497" t="s">
        <v>9</v>
      </c>
      <c r="G814" s="283">
        <f t="shared" ref="G814:R814" si="393">G815</f>
        <v>0</v>
      </c>
      <c r="H814" s="304">
        <f t="shared" si="393"/>
        <v>0</v>
      </c>
      <c r="I814" s="283">
        <f t="shared" si="393"/>
        <v>0</v>
      </c>
      <c r="J814" s="283">
        <f t="shared" si="393"/>
        <v>0</v>
      </c>
      <c r="K814" s="283">
        <f t="shared" si="393"/>
        <v>0</v>
      </c>
      <c r="L814" s="283">
        <f t="shared" si="393"/>
        <v>0</v>
      </c>
      <c r="M814" s="568">
        <f t="shared" si="393"/>
        <v>0</v>
      </c>
      <c r="N814" s="568">
        <f t="shared" si="393"/>
        <v>0</v>
      </c>
      <c r="O814" s="569">
        <f t="shared" si="393"/>
        <v>0</v>
      </c>
      <c r="P814" s="569">
        <f t="shared" si="393"/>
        <v>0</v>
      </c>
      <c r="Q814" s="569">
        <f t="shared" si="393"/>
        <v>0</v>
      </c>
      <c r="R814" s="569">
        <f t="shared" si="393"/>
        <v>0</v>
      </c>
      <c r="S814" s="132">
        <f t="shared" si="376"/>
        <v>0</v>
      </c>
    </row>
    <row r="815" spans="1:223" s="80" customFormat="1" ht="62.45" hidden="1" x14ac:dyDescent="0.3">
      <c r="A815" s="264" t="s">
        <v>115</v>
      </c>
      <c r="B815" s="380" t="s">
        <v>76</v>
      </c>
      <c r="C815" s="488" t="s">
        <v>18</v>
      </c>
      <c r="D815" s="380" t="s">
        <v>25</v>
      </c>
      <c r="E815" s="265" t="s">
        <v>817</v>
      </c>
      <c r="F815" s="380" t="s">
        <v>113</v>
      </c>
      <c r="G815" s="282"/>
      <c r="H815" s="303"/>
      <c r="I815" s="265"/>
      <c r="J815" s="265"/>
      <c r="K815" s="265"/>
      <c r="L815" s="265"/>
      <c r="M815" s="570"/>
      <c r="N815" s="570"/>
      <c r="O815" s="571"/>
      <c r="P815" s="571"/>
      <c r="Q815" s="571"/>
      <c r="R815" s="571"/>
      <c r="S815" s="131">
        <f t="shared" si="376"/>
        <v>0</v>
      </c>
    </row>
    <row r="816" spans="1:223" s="80" customFormat="1" ht="78.75" x14ac:dyDescent="0.25">
      <c r="A816" s="267" t="s">
        <v>1109</v>
      </c>
      <c r="B816" s="497" t="s">
        <v>76</v>
      </c>
      <c r="C816" s="496" t="s">
        <v>18</v>
      </c>
      <c r="D816" s="497" t="s">
        <v>25</v>
      </c>
      <c r="E816" s="285" t="s">
        <v>677</v>
      </c>
      <c r="F816" s="497" t="s">
        <v>9</v>
      </c>
      <c r="G816" s="283">
        <f t="shared" ref="G816:R816" si="394">G817</f>
        <v>9171.6</v>
      </c>
      <c r="H816" s="304">
        <f t="shared" si="394"/>
        <v>0</v>
      </c>
      <c r="I816" s="283">
        <f t="shared" si="394"/>
        <v>0</v>
      </c>
      <c r="J816" s="283">
        <f t="shared" si="394"/>
        <v>0</v>
      </c>
      <c r="K816" s="283">
        <f t="shared" si="394"/>
        <v>0.1</v>
      </c>
      <c r="L816" s="283">
        <f t="shared" si="394"/>
        <v>0</v>
      </c>
      <c r="M816" s="568">
        <f t="shared" si="394"/>
        <v>0</v>
      </c>
      <c r="N816" s="568">
        <f t="shared" si="394"/>
        <v>0</v>
      </c>
      <c r="O816" s="569">
        <f t="shared" si="394"/>
        <v>0</v>
      </c>
      <c r="P816" s="569">
        <f t="shared" si="394"/>
        <v>0</v>
      </c>
      <c r="Q816" s="569">
        <f t="shared" si="394"/>
        <v>0</v>
      </c>
      <c r="R816" s="569">
        <f t="shared" si="394"/>
        <v>0</v>
      </c>
      <c r="S816" s="132">
        <f t="shared" si="376"/>
        <v>9171.7000000000007</v>
      </c>
    </row>
    <row r="817" spans="1:19" s="80" customFormat="1" ht="31.5" x14ac:dyDescent="0.25">
      <c r="A817" s="264" t="s">
        <v>469</v>
      </c>
      <c r="B817" s="380" t="s">
        <v>76</v>
      </c>
      <c r="C817" s="488" t="s">
        <v>18</v>
      </c>
      <c r="D817" s="380" t="s">
        <v>25</v>
      </c>
      <c r="E817" s="265" t="s">
        <v>677</v>
      </c>
      <c r="F817" s="380" t="s">
        <v>213</v>
      </c>
      <c r="G817" s="365">
        <v>9171.6</v>
      </c>
      <c r="H817" s="303"/>
      <c r="I817" s="265"/>
      <c r="J817" s="265"/>
      <c r="K817" s="303">
        <v>0.1</v>
      </c>
      <c r="L817" s="265"/>
      <c r="M817" s="570"/>
      <c r="N817" s="570"/>
      <c r="O817" s="571"/>
      <c r="P817" s="571"/>
      <c r="Q817" s="571"/>
      <c r="R817" s="571"/>
      <c r="S817" s="566">
        <f t="shared" si="376"/>
        <v>9171.7000000000007</v>
      </c>
    </row>
    <row r="818" spans="1:19" s="80" customFormat="1" ht="78" hidden="1" x14ac:dyDescent="0.3">
      <c r="A818" s="267" t="s">
        <v>1109</v>
      </c>
      <c r="B818" s="497" t="s">
        <v>76</v>
      </c>
      <c r="C818" s="496" t="s">
        <v>18</v>
      </c>
      <c r="D818" s="497" t="s">
        <v>25</v>
      </c>
      <c r="E818" s="285" t="s">
        <v>991</v>
      </c>
      <c r="F818" s="497" t="s">
        <v>9</v>
      </c>
      <c r="G818" s="285"/>
      <c r="H818" s="305"/>
      <c r="I818" s="285"/>
      <c r="J818" s="285"/>
      <c r="K818" s="285"/>
      <c r="L818" s="285"/>
      <c r="M818" s="576"/>
      <c r="N818" s="576"/>
      <c r="O818" s="574"/>
      <c r="P818" s="574"/>
      <c r="Q818" s="574"/>
      <c r="R818" s="574"/>
      <c r="S818" s="132">
        <f t="shared" si="376"/>
        <v>0</v>
      </c>
    </row>
    <row r="819" spans="1:19" s="80" customFormat="1" ht="31.15" hidden="1" x14ac:dyDescent="0.3">
      <c r="A819" s="264" t="s">
        <v>469</v>
      </c>
      <c r="B819" s="380" t="s">
        <v>76</v>
      </c>
      <c r="C819" s="488" t="s">
        <v>18</v>
      </c>
      <c r="D819" s="380" t="s">
        <v>25</v>
      </c>
      <c r="E819" s="265" t="s">
        <v>991</v>
      </c>
      <c r="F819" s="380" t="s">
        <v>213</v>
      </c>
      <c r="G819" s="282"/>
      <c r="H819" s="303"/>
      <c r="I819" s="265"/>
      <c r="J819" s="265"/>
      <c r="K819" s="282"/>
      <c r="L819" s="265"/>
      <c r="M819" s="570"/>
      <c r="N819" s="570"/>
      <c r="O819" s="571"/>
      <c r="P819" s="571"/>
      <c r="Q819" s="571"/>
      <c r="R819" s="571"/>
      <c r="S819" s="131">
        <f t="shared" si="376"/>
        <v>0</v>
      </c>
    </row>
    <row r="820" spans="1:19" s="80" customFormat="1" x14ac:dyDescent="0.25">
      <c r="A820" s="267" t="s">
        <v>33</v>
      </c>
      <c r="B820" s="497" t="s">
        <v>76</v>
      </c>
      <c r="C820" s="496" t="s">
        <v>18</v>
      </c>
      <c r="D820" s="497" t="s">
        <v>25</v>
      </c>
      <c r="E820" s="285" t="s">
        <v>992</v>
      </c>
      <c r="F820" s="497" t="s">
        <v>9</v>
      </c>
      <c r="G820" s="283">
        <f t="shared" ref="G820:R820" si="395">G823+G821</f>
        <v>0</v>
      </c>
      <c r="H820" s="283">
        <f t="shared" si="395"/>
        <v>0</v>
      </c>
      <c r="I820" s="283">
        <f t="shared" si="395"/>
        <v>0</v>
      </c>
      <c r="J820" s="283">
        <f t="shared" si="395"/>
        <v>0</v>
      </c>
      <c r="K820" s="283">
        <f t="shared" si="395"/>
        <v>535.5</v>
      </c>
      <c r="L820" s="283">
        <f t="shared" si="395"/>
        <v>0</v>
      </c>
      <c r="M820" s="568">
        <f t="shared" si="395"/>
        <v>-75</v>
      </c>
      <c r="N820" s="568">
        <f t="shared" si="395"/>
        <v>0</v>
      </c>
      <c r="O820" s="132">
        <f t="shared" si="395"/>
        <v>0</v>
      </c>
      <c r="P820" s="132">
        <f t="shared" si="395"/>
        <v>0</v>
      </c>
      <c r="Q820" s="132">
        <f t="shared" si="395"/>
        <v>0</v>
      </c>
      <c r="R820" s="132">
        <f t="shared" si="395"/>
        <v>0</v>
      </c>
      <c r="S820" s="132">
        <f t="shared" si="376"/>
        <v>460.5</v>
      </c>
    </row>
    <row r="821" spans="1:19" s="80" customFormat="1" ht="62.45" hidden="1" x14ac:dyDescent="0.3">
      <c r="A821" s="267" t="s">
        <v>1169</v>
      </c>
      <c r="B821" s="497" t="s">
        <v>76</v>
      </c>
      <c r="C821" s="496" t="s">
        <v>18</v>
      </c>
      <c r="D821" s="497" t="s">
        <v>25</v>
      </c>
      <c r="E821" s="285" t="s">
        <v>1168</v>
      </c>
      <c r="F821" s="497" t="s">
        <v>9</v>
      </c>
      <c r="G821" s="283">
        <f t="shared" ref="G821:R821" si="396">G822</f>
        <v>0</v>
      </c>
      <c r="H821" s="283">
        <f t="shared" si="396"/>
        <v>0</v>
      </c>
      <c r="I821" s="283">
        <f t="shared" si="396"/>
        <v>0</v>
      </c>
      <c r="J821" s="283">
        <f t="shared" si="396"/>
        <v>0</v>
      </c>
      <c r="K821" s="283">
        <f t="shared" si="396"/>
        <v>75</v>
      </c>
      <c r="L821" s="283">
        <f t="shared" si="396"/>
        <v>0</v>
      </c>
      <c r="M821" s="568">
        <f t="shared" si="396"/>
        <v>-75</v>
      </c>
      <c r="N821" s="568">
        <f t="shared" si="396"/>
        <v>0</v>
      </c>
      <c r="O821" s="132">
        <f t="shared" si="396"/>
        <v>0</v>
      </c>
      <c r="P821" s="132">
        <f t="shared" si="396"/>
        <v>0</v>
      </c>
      <c r="Q821" s="132">
        <f t="shared" si="396"/>
        <v>0</v>
      </c>
      <c r="R821" s="132">
        <f t="shared" si="396"/>
        <v>0</v>
      </c>
      <c r="S821" s="132">
        <f t="shared" si="376"/>
        <v>0</v>
      </c>
    </row>
    <row r="822" spans="1:19" s="77" customFormat="1" ht="15.6" hidden="1" x14ac:dyDescent="0.3">
      <c r="A822" s="264" t="s">
        <v>125</v>
      </c>
      <c r="B822" s="380" t="s">
        <v>76</v>
      </c>
      <c r="C822" s="488" t="s">
        <v>18</v>
      </c>
      <c r="D822" s="380" t="s">
        <v>25</v>
      </c>
      <c r="E822" s="265" t="s">
        <v>1168</v>
      </c>
      <c r="F822" s="380" t="s">
        <v>118</v>
      </c>
      <c r="G822" s="282"/>
      <c r="H822" s="303"/>
      <c r="I822" s="282"/>
      <c r="J822" s="282"/>
      <c r="K822" s="303">
        <v>75</v>
      </c>
      <c r="L822" s="282"/>
      <c r="M822" s="578">
        <v>-75</v>
      </c>
      <c r="N822" s="566"/>
      <c r="O822" s="567"/>
      <c r="P822" s="567"/>
      <c r="Q822" s="567"/>
      <c r="R822" s="567"/>
      <c r="S822" s="566">
        <f t="shared" si="376"/>
        <v>0</v>
      </c>
    </row>
    <row r="823" spans="1:19" s="80" customFormat="1" ht="47.25" x14ac:dyDescent="0.25">
      <c r="A823" s="267" t="s">
        <v>1062</v>
      </c>
      <c r="B823" s="497" t="s">
        <v>76</v>
      </c>
      <c r="C823" s="496" t="s">
        <v>18</v>
      </c>
      <c r="D823" s="497" t="s">
        <v>25</v>
      </c>
      <c r="E823" s="285" t="s">
        <v>994</v>
      </c>
      <c r="F823" s="497" t="s">
        <v>9</v>
      </c>
      <c r="G823" s="283">
        <f t="shared" ref="G823:M823" si="397">G824</f>
        <v>0</v>
      </c>
      <c r="H823" s="304">
        <f t="shared" si="397"/>
        <v>0</v>
      </c>
      <c r="I823" s="283">
        <f t="shared" si="397"/>
        <v>0</v>
      </c>
      <c r="J823" s="283">
        <f t="shared" si="397"/>
        <v>0</v>
      </c>
      <c r="K823" s="283">
        <f t="shared" si="397"/>
        <v>460.5</v>
      </c>
      <c r="L823" s="283">
        <f t="shared" si="397"/>
        <v>0</v>
      </c>
      <c r="M823" s="568">
        <f t="shared" si="397"/>
        <v>0</v>
      </c>
      <c r="N823" s="568"/>
      <c r="O823" s="569"/>
      <c r="P823" s="569"/>
      <c r="Q823" s="569"/>
      <c r="R823" s="569"/>
      <c r="S823" s="132">
        <f t="shared" si="376"/>
        <v>460.5</v>
      </c>
    </row>
    <row r="824" spans="1:19" s="80" customFormat="1" x14ac:dyDescent="0.25">
      <c r="A824" s="264" t="s">
        <v>125</v>
      </c>
      <c r="B824" s="380" t="s">
        <v>76</v>
      </c>
      <c r="C824" s="488" t="s">
        <v>18</v>
      </c>
      <c r="D824" s="380" t="s">
        <v>25</v>
      </c>
      <c r="E824" s="265" t="s">
        <v>994</v>
      </c>
      <c r="F824" s="380" t="s">
        <v>118</v>
      </c>
      <c r="G824" s="283"/>
      <c r="H824" s="304"/>
      <c r="I824" s="283"/>
      <c r="J824" s="282"/>
      <c r="K824" s="303">
        <v>460.5</v>
      </c>
      <c r="L824" s="283"/>
      <c r="M824" s="568"/>
      <c r="N824" s="568"/>
      <c r="O824" s="132"/>
      <c r="P824" s="132"/>
      <c r="Q824" s="132"/>
      <c r="R824" s="132"/>
      <c r="S824" s="566">
        <f t="shared" si="376"/>
        <v>460.5</v>
      </c>
    </row>
    <row r="825" spans="1:19" s="80" customFormat="1" x14ac:dyDescent="0.25">
      <c r="A825" s="267" t="s">
        <v>15</v>
      </c>
      <c r="B825" s="497" t="s">
        <v>76</v>
      </c>
      <c r="C825" s="496" t="s">
        <v>18</v>
      </c>
      <c r="D825" s="497" t="s">
        <v>25</v>
      </c>
      <c r="E825" s="285" t="s">
        <v>433</v>
      </c>
      <c r="F825" s="497" t="s">
        <v>9</v>
      </c>
      <c r="G825" s="283">
        <f t="shared" ref="G825:R826" si="398">G826</f>
        <v>2079.4899999999998</v>
      </c>
      <c r="H825" s="304">
        <f t="shared" si="398"/>
        <v>0</v>
      </c>
      <c r="I825" s="283">
        <f t="shared" si="398"/>
        <v>0</v>
      </c>
      <c r="J825" s="283">
        <f t="shared" si="398"/>
        <v>142.8725</v>
      </c>
      <c r="K825" s="283">
        <f t="shared" si="398"/>
        <v>0</v>
      </c>
      <c r="L825" s="283">
        <f t="shared" si="398"/>
        <v>0</v>
      </c>
      <c r="M825" s="568">
        <f t="shared" si="398"/>
        <v>-170.95049999999998</v>
      </c>
      <c r="N825" s="568">
        <f t="shared" si="398"/>
        <v>5.0000000000000001E-4</v>
      </c>
      <c r="O825" s="569">
        <f t="shared" si="398"/>
        <v>0</v>
      </c>
      <c r="P825" s="569">
        <f t="shared" si="398"/>
        <v>0</v>
      </c>
      <c r="Q825" s="569">
        <f t="shared" si="398"/>
        <v>0</v>
      </c>
      <c r="R825" s="569">
        <f t="shared" si="398"/>
        <v>0</v>
      </c>
      <c r="S825" s="132">
        <f t="shared" si="376"/>
        <v>2051.4124999999999</v>
      </c>
    </row>
    <row r="826" spans="1:19" s="77" customFormat="1" x14ac:dyDescent="0.25">
      <c r="A826" s="267" t="s">
        <v>712</v>
      </c>
      <c r="B826" s="497" t="s">
        <v>76</v>
      </c>
      <c r="C826" s="496" t="s">
        <v>18</v>
      </c>
      <c r="D826" s="497" t="s">
        <v>25</v>
      </c>
      <c r="E826" s="285" t="s">
        <v>711</v>
      </c>
      <c r="F826" s="497" t="s">
        <v>9</v>
      </c>
      <c r="G826" s="283">
        <f t="shared" si="398"/>
        <v>2079.4899999999998</v>
      </c>
      <c r="H826" s="304">
        <f t="shared" si="398"/>
        <v>0</v>
      </c>
      <c r="I826" s="283">
        <f t="shared" si="398"/>
        <v>0</v>
      </c>
      <c r="J826" s="283">
        <f t="shared" si="398"/>
        <v>142.8725</v>
      </c>
      <c r="K826" s="283">
        <f t="shared" si="398"/>
        <v>0</v>
      </c>
      <c r="L826" s="283">
        <f t="shared" si="398"/>
        <v>0</v>
      </c>
      <c r="M826" s="568">
        <f t="shared" si="398"/>
        <v>-170.95049999999998</v>
      </c>
      <c r="N826" s="568">
        <f t="shared" si="398"/>
        <v>5.0000000000000001E-4</v>
      </c>
      <c r="O826" s="569">
        <f t="shared" si="398"/>
        <v>0</v>
      </c>
      <c r="P826" s="569">
        <f t="shared" si="398"/>
        <v>0</v>
      </c>
      <c r="Q826" s="569">
        <f t="shared" si="398"/>
        <v>0</v>
      </c>
      <c r="R826" s="569">
        <f t="shared" si="398"/>
        <v>0</v>
      </c>
      <c r="S826" s="132">
        <f t="shared" si="376"/>
        <v>2051.4124999999999</v>
      </c>
    </row>
    <row r="827" spans="1:19" s="80" customFormat="1" x14ac:dyDescent="0.25">
      <c r="A827" s="264" t="s">
        <v>125</v>
      </c>
      <c r="B827" s="380" t="s">
        <v>76</v>
      </c>
      <c r="C827" s="488" t="s">
        <v>18</v>
      </c>
      <c r="D827" s="380" t="s">
        <v>25</v>
      </c>
      <c r="E827" s="265" t="s">
        <v>711</v>
      </c>
      <c r="F827" s="380" t="s">
        <v>118</v>
      </c>
      <c r="G827" s="360">
        <f>1900.12-122.23+444.48-142.88</f>
        <v>2079.4899999999998</v>
      </c>
      <c r="H827" s="303"/>
      <c r="I827" s="265"/>
      <c r="J827" s="418">
        <f>142.88-0.0075</f>
        <v>142.8725</v>
      </c>
      <c r="K827" s="265"/>
      <c r="L827" s="265"/>
      <c r="M827" s="418">
        <f>-136.76-34.1905</f>
        <v>-170.95049999999998</v>
      </c>
      <c r="N827" s="653">
        <v>5.0000000000000001E-4</v>
      </c>
      <c r="O827" s="571"/>
      <c r="P827" s="571"/>
      <c r="Q827" s="571"/>
      <c r="R827" s="571"/>
      <c r="S827" s="566">
        <f t="shared" si="376"/>
        <v>2051.4124999999999</v>
      </c>
    </row>
    <row r="828" spans="1:19" s="77" customFormat="1" ht="15.6" hidden="1" x14ac:dyDescent="0.3">
      <c r="A828" s="267" t="s">
        <v>201</v>
      </c>
      <c r="B828" s="497" t="s">
        <v>76</v>
      </c>
      <c r="C828" s="496" t="s">
        <v>18</v>
      </c>
      <c r="D828" s="497" t="s">
        <v>25</v>
      </c>
      <c r="E828" s="285" t="s">
        <v>452</v>
      </c>
      <c r="F828" s="497" t="s">
        <v>9</v>
      </c>
      <c r="G828" s="283">
        <f t="shared" ref="G828:R828" si="399">G829</f>
        <v>0</v>
      </c>
      <c r="H828" s="304">
        <f t="shared" si="399"/>
        <v>0</v>
      </c>
      <c r="I828" s="283">
        <f t="shared" si="399"/>
        <v>0</v>
      </c>
      <c r="J828" s="283">
        <f t="shared" si="399"/>
        <v>0</v>
      </c>
      <c r="K828" s="283">
        <f t="shared" si="399"/>
        <v>0</v>
      </c>
      <c r="L828" s="283">
        <f t="shared" si="399"/>
        <v>0</v>
      </c>
      <c r="M828" s="568">
        <f t="shared" si="399"/>
        <v>0</v>
      </c>
      <c r="N828" s="568">
        <f t="shared" si="399"/>
        <v>0</v>
      </c>
      <c r="O828" s="569">
        <f t="shared" si="399"/>
        <v>0</v>
      </c>
      <c r="P828" s="569">
        <f t="shared" si="399"/>
        <v>0</v>
      </c>
      <c r="Q828" s="569">
        <f t="shared" si="399"/>
        <v>0</v>
      </c>
      <c r="R828" s="569">
        <f t="shared" si="399"/>
        <v>0</v>
      </c>
      <c r="S828" s="132">
        <f t="shared" si="376"/>
        <v>0</v>
      </c>
    </row>
    <row r="829" spans="1:19" s="80" customFormat="1" ht="62.45" hidden="1" x14ac:dyDescent="0.3">
      <c r="A829" s="264" t="s">
        <v>115</v>
      </c>
      <c r="B829" s="380" t="s">
        <v>76</v>
      </c>
      <c r="C829" s="488" t="s">
        <v>18</v>
      </c>
      <c r="D829" s="380" t="s">
        <v>25</v>
      </c>
      <c r="E829" s="265" t="s">
        <v>452</v>
      </c>
      <c r="F829" s="380" t="s">
        <v>113</v>
      </c>
      <c r="G829" s="282"/>
      <c r="H829" s="303"/>
      <c r="I829" s="265"/>
      <c r="J829" s="265"/>
      <c r="K829" s="265"/>
      <c r="L829" s="265"/>
      <c r="M829" s="570"/>
      <c r="N829" s="570"/>
      <c r="O829" s="571"/>
      <c r="P829" s="571"/>
      <c r="Q829" s="571"/>
      <c r="R829" s="571"/>
      <c r="S829" s="131">
        <f t="shared" si="376"/>
        <v>0</v>
      </c>
    </row>
    <row r="830" spans="1:19" s="80" customFormat="1" x14ac:dyDescent="0.25">
      <c r="A830" s="267" t="s">
        <v>1063</v>
      </c>
      <c r="B830" s="497" t="s">
        <v>76</v>
      </c>
      <c r="C830" s="496" t="s">
        <v>18</v>
      </c>
      <c r="D830" s="497" t="s">
        <v>90</v>
      </c>
      <c r="E830" s="285" t="s">
        <v>365</v>
      </c>
      <c r="F830" s="497" t="s">
        <v>9</v>
      </c>
      <c r="G830" s="282"/>
      <c r="H830" s="303"/>
      <c r="I830" s="265"/>
      <c r="J830" s="265"/>
      <c r="K830" s="265"/>
      <c r="L830" s="285">
        <f>L831</f>
        <v>549.5544000000001</v>
      </c>
      <c r="M830" s="576"/>
      <c r="N830" s="576">
        <f>N831</f>
        <v>0</v>
      </c>
      <c r="O830" s="574"/>
      <c r="P830" s="574"/>
      <c r="Q830" s="574"/>
      <c r="R830" s="574"/>
      <c r="S830" s="132">
        <f t="shared" si="376"/>
        <v>549.5544000000001</v>
      </c>
    </row>
    <row r="831" spans="1:19" s="80" customFormat="1" ht="31.5" x14ac:dyDescent="0.25">
      <c r="A831" s="267" t="s">
        <v>784</v>
      </c>
      <c r="B831" s="497" t="s">
        <v>76</v>
      </c>
      <c r="C831" s="496" t="s">
        <v>18</v>
      </c>
      <c r="D831" s="497" t="s">
        <v>90</v>
      </c>
      <c r="E831" s="285" t="s">
        <v>380</v>
      </c>
      <c r="F831" s="497" t="s">
        <v>9</v>
      </c>
      <c r="G831" s="282"/>
      <c r="H831" s="303"/>
      <c r="I831" s="265"/>
      <c r="J831" s="265"/>
      <c r="K831" s="265"/>
      <c r="L831" s="285">
        <f>L832</f>
        <v>549.5544000000001</v>
      </c>
      <c r="M831" s="576"/>
      <c r="N831" s="576">
        <f>N832</f>
        <v>0</v>
      </c>
      <c r="O831" s="574"/>
      <c r="P831" s="574"/>
      <c r="Q831" s="574"/>
      <c r="R831" s="574"/>
      <c r="S831" s="132">
        <f t="shared" si="376"/>
        <v>549.5544000000001</v>
      </c>
    </row>
    <row r="832" spans="1:19" s="80" customFormat="1" ht="31.5" x14ac:dyDescent="0.25">
      <c r="A832" s="267" t="s">
        <v>1064</v>
      </c>
      <c r="B832" s="497" t="s">
        <v>76</v>
      </c>
      <c r="C832" s="496" t="s">
        <v>18</v>
      </c>
      <c r="D832" s="497" t="s">
        <v>90</v>
      </c>
      <c r="E832" s="285" t="s">
        <v>1065</v>
      </c>
      <c r="F832" s="497" t="s">
        <v>9</v>
      </c>
      <c r="G832" s="282"/>
      <c r="H832" s="303"/>
      <c r="I832" s="265"/>
      <c r="J832" s="265"/>
      <c r="K832" s="265"/>
      <c r="L832" s="285">
        <f>L833</f>
        <v>549.5544000000001</v>
      </c>
      <c r="M832" s="576"/>
      <c r="N832" s="576">
        <f>N833</f>
        <v>0</v>
      </c>
      <c r="O832" s="574"/>
      <c r="P832" s="574"/>
      <c r="Q832" s="574"/>
      <c r="R832" s="574"/>
      <c r="S832" s="132">
        <f t="shared" si="376"/>
        <v>549.5544000000001</v>
      </c>
    </row>
    <row r="833" spans="1:19" s="80" customFormat="1" ht="31.5" x14ac:dyDescent="0.25">
      <c r="A833" s="264" t="s">
        <v>124</v>
      </c>
      <c r="B833" s="380" t="s">
        <v>76</v>
      </c>
      <c r="C833" s="488" t="s">
        <v>18</v>
      </c>
      <c r="D833" s="380" t="s">
        <v>90</v>
      </c>
      <c r="E833" s="265" t="s">
        <v>1065</v>
      </c>
      <c r="F833" s="380" t="s">
        <v>117</v>
      </c>
      <c r="G833" s="282"/>
      <c r="H833" s="303"/>
      <c r="I833" s="265"/>
      <c r="J833" s="265"/>
      <c r="K833" s="265"/>
      <c r="L833" s="265">
        <f>544.373+5.1814</f>
        <v>549.5544000000001</v>
      </c>
      <c r="M833" s="570"/>
      <c r="N833" s="570"/>
      <c r="O833" s="571"/>
      <c r="P833" s="571"/>
      <c r="Q833" s="571"/>
      <c r="R833" s="571"/>
      <c r="S833" s="566">
        <f t="shared" si="376"/>
        <v>549.5544000000001</v>
      </c>
    </row>
    <row r="834" spans="1:19" s="77" customFormat="1" x14ac:dyDescent="0.25">
      <c r="A834" s="264" t="s">
        <v>97</v>
      </c>
      <c r="B834" s="380" t="s">
        <v>76</v>
      </c>
      <c r="C834" s="488" t="s">
        <v>51</v>
      </c>
      <c r="D834" s="380" t="s">
        <v>10</v>
      </c>
      <c r="E834" s="265" t="s">
        <v>365</v>
      </c>
      <c r="F834" s="380" t="s">
        <v>9</v>
      </c>
      <c r="G834" s="282">
        <f t="shared" ref="G834:R834" si="400">G835+G857</f>
        <v>1500</v>
      </c>
      <c r="H834" s="303">
        <f t="shared" si="400"/>
        <v>13398</v>
      </c>
      <c r="I834" s="282">
        <f t="shared" si="400"/>
        <v>-750</v>
      </c>
      <c r="J834" s="282">
        <f t="shared" si="400"/>
        <v>34</v>
      </c>
      <c r="K834" s="282">
        <f t="shared" si="400"/>
        <v>555.6</v>
      </c>
      <c r="L834" s="282">
        <f t="shared" si="400"/>
        <v>50</v>
      </c>
      <c r="M834" s="566">
        <f t="shared" si="400"/>
        <v>-138.19999999999999</v>
      </c>
      <c r="N834" s="566">
        <f t="shared" si="400"/>
        <v>60</v>
      </c>
      <c r="O834" s="567">
        <f t="shared" si="400"/>
        <v>0</v>
      </c>
      <c r="P834" s="567">
        <f t="shared" si="400"/>
        <v>0</v>
      </c>
      <c r="Q834" s="567">
        <f t="shared" si="400"/>
        <v>0</v>
      </c>
      <c r="R834" s="567">
        <f t="shared" si="400"/>
        <v>0</v>
      </c>
      <c r="S834" s="131">
        <f t="shared" si="376"/>
        <v>14709.4</v>
      </c>
    </row>
    <row r="835" spans="1:19" s="77" customFormat="1" x14ac:dyDescent="0.25">
      <c r="A835" s="267" t="s">
        <v>98</v>
      </c>
      <c r="B835" s="497" t="s">
        <v>76</v>
      </c>
      <c r="C835" s="496" t="s">
        <v>51</v>
      </c>
      <c r="D835" s="497" t="s">
        <v>36</v>
      </c>
      <c r="E835" s="285" t="s">
        <v>365</v>
      </c>
      <c r="F835" s="497" t="s">
        <v>9</v>
      </c>
      <c r="G835" s="283">
        <f t="shared" ref="G835:R836" si="401">G836</f>
        <v>0</v>
      </c>
      <c r="H835" s="304">
        <f t="shared" si="401"/>
        <v>85</v>
      </c>
      <c r="I835" s="283">
        <f t="shared" si="401"/>
        <v>0</v>
      </c>
      <c r="J835" s="283">
        <f t="shared" si="401"/>
        <v>22</v>
      </c>
      <c r="K835" s="283">
        <f t="shared" si="401"/>
        <v>0</v>
      </c>
      <c r="L835" s="283">
        <f t="shared" si="401"/>
        <v>50</v>
      </c>
      <c r="M835" s="568">
        <f t="shared" si="401"/>
        <v>40</v>
      </c>
      <c r="N835" s="568">
        <f t="shared" si="401"/>
        <v>60</v>
      </c>
      <c r="O835" s="569">
        <f t="shared" si="401"/>
        <v>0</v>
      </c>
      <c r="P835" s="569">
        <f t="shared" si="401"/>
        <v>0</v>
      </c>
      <c r="Q835" s="569">
        <f t="shared" si="401"/>
        <v>0</v>
      </c>
      <c r="R835" s="569">
        <f t="shared" si="401"/>
        <v>0</v>
      </c>
      <c r="S835" s="132">
        <f t="shared" si="376"/>
        <v>257</v>
      </c>
    </row>
    <row r="836" spans="1:19" s="77" customFormat="1" ht="31.5" x14ac:dyDescent="0.25">
      <c r="A836" s="267" t="s">
        <v>784</v>
      </c>
      <c r="B836" s="497" t="s">
        <v>76</v>
      </c>
      <c r="C836" s="496" t="s">
        <v>51</v>
      </c>
      <c r="D836" s="497" t="s">
        <v>36</v>
      </c>
      <c r="E836" s="285" t="s">
        <v>380</v>
      </c>
      <c r="F836" s="497" t="s">
        <v>9</v>
      </c>
      <c r="G836" s="283">
        <f t="shared" si="401"/>
        <v>0</v>
      </c>
      <c r="H836" s="304">
        <f t="shared" si="401"/>
        <v>85</v>
      </c>
      <c r="I836" s="283">
        <f t="shared" si="401"/>
        <v>0</v>
      </c>
      <c r="J836" s="283">
        <f t="shared" si="401"/>
        <v>22</v>
      </c>
      <c r="K836" s="283">
        <f t="shared" si="401"/>
        <v>0</v>
      </c>
      <c r="L836" s="283">
        <f t="shared" si="401"/>
        <v>50</v>
      </c>
      <c r="M836" s="568">
        <f t="shared" si="401"/>
        <v>40</v>
      </c>
      <c r="N836" s="568">
        <f t="shared" si="401"/>
        <v>60</v>
      </c>
      <c r="O836" s="569">
        <f t="shared" si="401"/>
        <v>0</v>
      </c>
      <c r="P836" s="569">
        <f t="shared" si="401"/>
        <v>0</v>
      </c>
      <c r="Q836" s="569">
        <f t="shared" si="401"/>
        <v>0</v>
      </c>
      <c r="R836" s="569">
        <f t="shared" si="401"/>
        <v>0</v>
      </c>
      <c r="S836" s="132">
        <f t="shared" si="376"/>
        <v>257</v>
      </c>
    </row>
    <row r="837" spans="1:19" s="77" customFormat="1" x14ac:dyDescent="0.25">
      <c r="A837" s="267" t="s">
        <v>15</v>
      </c>
      <c r="B837" s="497" t="s">
        <v>76</v>
      </c>
      <c r="C837" s="496" t="s">
        <v>51</v>
      </c>
      <c r="D837" s="497" t="s">
        <v>36</v>
      </c>
      <c r="E837" s="285" t="s">
        <v>433</v>
      </c>
      <c r="F837" s="497" t="s">
        <v>9</v>
      </c>
      <c r="G837" s="283">
        <f t="shared" ref="G837:R837" si="402">G850+G838+G855+G847</f>
        <v>0</v>
      </c>
      <c r="H837" s="304">
        <f t="shared" si="402"/>
        <v>85</v>
      </c>
      <c r="I837" s="283">
        <f t="shared" si="402"/>
        <v>0</v>
      </c>
      <c r="J837" s="283">
        <f t="shared" si="402"/>
        <v>22</v>
      </c>
      <c r="K837" s="283">
        <f t="shared" si="402"/>
        <v>0</v>
      </c>
      <c r="L837" s="283">
        <f t="shared" si="402"/>
        <v>50</v>
      </c>
      <c r="M837" s="568">
        <f t="shared" si="402"/>
        <v>40</v>
      </c>
      <c r="N837" s="568">
        <f t="shared" si="402"/>
        <v>60</v>
      </c>
      <c r="O837" s="569">
        <f t="shared" si="402"/>
        <v>0</v>
      </c>
      <c r="P837" s="569">
        <f t="shared" si="402"/>
        <v>0</v>
      </c>
      <c r="Q837" s="569">
        <f t="shared" si="402"/>
        <v>0</v>
      </c>
      <c r="R837" s="569">
        <f t="shared" si="402"/>
        <v>0</v>
      </c>
      <c r="S837" s="132">
        <f t="shared" si="376"/>
        <v>257</v>
      </c>
    </row>
    <row r="838" spans="1:19" s="77" customFormat="1" ht="15.6" hidden="1" x14ac:dyDescent="0.3">
      <c r="A838" s="267" t="s">
        <v>798</v>
      </c>
      <c r="B838" s="497" t="s">
        <v>76</v>
      </c>
      <c r="C838" s="496" t="s">
        <v>51</v>
      </c>
      <c r="D838" s="497" t="s">
        <v>36</v>
      </c>
      <c r="E838" s="285" t="s">
        <v>800</v>
      </c>
      <c r="F838" s="497" t="s">
        <v>9</v>
      </c>
      <c r="G838" s="283">
        <f t="shared" ref="G838:R838" si="403">G839</f>
        <v>0</v>
      </c>
      <c r="H838" s="304">
        <f t="shared" si="403"/>
        <v>0</v>
      </c>
      <c r="I838" s="283">
        <f t="shared" si="403"/>
        <v>0</v>
      </c>
      <c r="J838" s="283">
        <f t="shared" si="403"/>
        <v>0</v>
      </c>
      <c r="K838" s="283">
        <f t="shared" si="403"/>
        <v>0</v>
      </c>
      <c r="L838" s="283">
        <f t="shared" si="403"/>
        <v>0</v>
      </c>
      <c r="M838" s="568">
        <f t="shared" si="403"/>
        <v>0</v>
      </c>
      <c r="N838" s="568">
        <f t="shared" si="403"/>
        <v>0</v>
      </c>
      <c r="O838" s="569">
        <f t="shared" si="403"/>
        <v>0</v>
      </c>
      <c r="P838" s="569">
        <f t="shared" si="403"/>
        <v>0</v>
      </c>
      <c r="Q838" s="569">
        <f t="shared" si="403"/>
        <v>0</v>
      </c>
      <c r="R838" s="569">
        <f t="shared" si="403"/>
        <v>0</v>
      </c>
      <c r="S838" s="132">
        <f t="shared" si="376"/>
        <v>0</v>
      </c>
    </row>
    <row r="839" spans="1:19" s="77" customFormat="1" ht="15.6" hidden="1" x14ac:dyDescent="0.3">
      <c r="A839" s="267" t="s">
        <v>799</v>
      </c>
      <c r="B839" s="497" t="s">
        <v>76</v>
      </c>
      <c r="C839" s="496" t="s">
        <v>51</v>
      </c>
      <c r="D839" s="497" t="s">
        <v>36</v>
      </c>
      <c r="E839" s="285" t="s">
        <v>801</v>
      </c>
      <c r="F839" s="497" t="s">
        <v>9</v>
      </c>
      <c r="G839" s="283">
        <f t="shared" ref="G839:R839" si="404">G840+G842+G844</f>
        <v>0</v>
      </c>
      <c r="H839" s="304">
        <f t="shared" si="404"/>
        <v>0</v>
      </c>
      <c r="I839" s="283">
        <f t="shared" si="404"/>
        <v>0</v>
      </c>
      <c r="J839" s="283">
        <f t="shared" si="404"/>
        <v>0</v>
      </c>
      <c r="K839" s="283">
        <f t="shared" si="404"/>
        <v>0</v>
      </c>
      <c r="L839" s="283">
        <f t="shared" si="404"/>
        <v>0</v>
      </c>
      <c r="M839" s="568">
        <f t="shared" si="404"/>
        <v>0</v>
      </c>
      <c r="N839" s="568">
        <f t="shared" si="404"/>
        <v>0</v>
      </c>
      <c r="O839" s="569">
        <f t="shared" si="404"/>
        <v>0</v>
      </c>
      <c r="P839" s="569">
        <f t="shared" si="404"/>
        <v>0</v>
      </c>
      <c r="Q839" s="569">
        <f t="shared" si="404"/>
        <v>0</v>
      </c>
      <c r="R839" s="569">
        <f t="shared" si="404"/>
        <v>0</v>
      </c>
      <c r="S839" s="132">
        <f t="shared" si="376"/>
        <v>0</v>
      </c>
    </row>
    <row r="840" spans="1:19" s="77" customFormat="1" ht="31.15" hidden="1" x14ac:dyDescent="0.3">
      <c r="A840" s="267" t="s">
        <v>714</v>
      </c>
      <c r="B840" s="497" t="s">
        <v>76</v>
      </c>
      <c r="C840" s="496" t="s">
        <v>51</v>
      </c>
      <c r="D840" s="497" t="s">
        <v>36</v>
      </c>
      <c r="E840" s="285" t="s">
        <v>713</v>
      </c>
      <c r="F840" s="497" t="s">
        <v>9</v>
      </c>
      <c r="G840" s="283">
        <f t="shared" ref="G840:R840" si="405">G841</f>
        <v>0</v>
      </c>
      <c r="H840" s="304">
        <f t="shared" si="405"/>
        <v>0</v>
      </c>
      <c r="I840" s="283">
        <f t="shared" si="405"/>
        <v>0</v>
      </c>
      <c r="J840" s="283">
        <f t="shared" si="405"/>
        <v>0</v>
      </c>
      <c r="K840" s="283">
        <f t="shared" si="405"/>
        <v>0</v>
      </c>
      <c r="L840" s="283">
        <f t="shared" si="405"/>
        <v>0</v>
      </c>
      <c r="M840" s="568">
        <f t="shared" si="405"/>
        <v>0</v>
      </c>
      <c r="N840" s="568">
        <f t="shared" si="405"/>
        <v>0</v>
      </c>
      <c r="O840" s="569">
        <f t="shared" si="405"/>
        <v>0</v>
      </c>
      <c r="P840" s="569">
        <f t="shared" si="405"/>
        <v>0</v>
      </c>
      <c r="Q840" s="569">
        <f t="shared" si="405"/>
        <v>0</v>
      </c>
      <c r="R840" s="569">
        <f t="shared" si="405"/>
        <v>0</v>
      </c>
      <c r="S840" s="132">
        <f t="shared" si="376"/>
        <v>0</v>
      </c>
    </row>
    <row r="841" spans="1:19" s="80" customFormat="1" ht="31.15" hidden="1" x14ac:dyDescent="0.3">
      <c r="A841" s="264" t="s">
        <v>124</v>
      </c>
      <c r="B841" s="380" t="s">
        <v>76</v>
      </c>
      <c r="C841" s="488" t="s">
        <v>51</v>
      </c>
      <c r="D841" s="380" t="s">
        <v>36</v>
      </c>
      <c r="E841" s="265" t="s">
        <v>713</v>
      </c>
      <c r="F841" s="380" t="s">
        <v>117</v>
      </c>
      <c r="G841" s="282"/>
      <c r="H841" s="303"/>
      <c r="I841" s="265"/>
      <c r="J841" s="265"/>
      <c r="K841" s="265"/>
      <c r="L841" s="265"/>
      <c r="M841" s="570"/>
      <c r="N841" s="570"/>
      <c r="O841" s="571"/>
      <c r="P841" s="571"/>
      <c r="Q841" s="571"/>
      <c r="R841" s="571"/>
      <c r="S841" s="131">
        <f t="shared" si="376"/>
        <v>0</v>
      </c>
    </row>
    <row r="842" spans="1:19" s="80" customFormat="1" ht="31.15" hidden="1" x14ac:dyDescent="0.3">
      <c r="A842" s="267" t="s">
        <v>684</v>
      </c>
      <c r="B842" s="497" t="s">
        <v>76</v>
      </c>
      <c r="C842" s="496" t="s">
        <v>51</v>
      </c>
      <c r="D842" s="497" t="s">
        <v>36</v>
      </c>
      <c r="E842" s="285" t="s">
        <v>685</v>
      </c>
      <c r="F842" s="497" t="s">
        <v>9</v>
      </c>
      <c r="G842" s="283">
        <f t="shared" ref="G842:R842" si="406">G843</f>
        <v>0</v>
      </c>
      <c r="H842" s="304">
        <f t="shared" si="406"/>
        <v>0</v>
      </c>
      <c r="I842" s="283">
        <f t="shared" si="406"/>
        <v>0</v>
      </c>
      <c r="J842" s="283">
        <f t="shared" si="406"/>
        <v>0</v>
      </c>
      <c r="K842" s="283">
        <f t="shared" si="406"/>
        <v>0</v>
      </c>
      <c r="L842" s="283">
        <f t="shared" si="406"/>
        <v>0</v>
      </c>
      <c r="M842" s="568">
        <f t="shared" si="406"/>
        <v>0</v>
      </c>
      <c r="N842" s="568">
        <f t="shared" si="406"/>
        <v>0</v>
      </c>
      <c r="O842" s="569">
        <f t="shared" si="406"/>
        <v>0</v>
      </c>
      <c r="P842" s="569">
        <f t="shared" si="406"/>
        <v>0</v>
      </c>
      <c r="Q842" s="569">
        <f t="shared" si="406"/>
        <v>0</v>
      </c>
      <c r="R842" s="569">
        <f t="shared" si="406"/>
        <v>0</v>
      </c>
      <c r="S842" s="132">
        <f t="shared" si="376"/>
        <v>0</v>
      </c>
    </row>
    <row r="843" spans="1:19" s="80" customFormat="1" ht="31.15" hidden="1" x14ac:dyDescent="0.3">
      <c r="A843" s="264" t="s">
        <v>469</v>
      </c>
      <c r="B843" s="380" t="s">
        <v>76</v>
      </c>
      <c r="C843" s="488" t="s">
        <v>51</v>
      </c>
      <c r="D843" s="380" t="s">
        <v>36</v>
      </c>
      <c r="E843" s="265" t="s">
        <v>685</v>
      </c>
      <c r="F843" s="380" t="s">
        <v>213</v>
      </c>
      <c r="G843" s="282"/>
      <c r="H843" s="303"/>
      <c r="I843" s="265"/>
      <c r="J843" s="265"/>
      <c r="K843" s="265"/>
      <c r="L843" s="265"/>
      <c r="M843" s="570"/>
      <c r="N843" s="570"/>
      <c r="O843" s="571"/>
      <c r="P843" s="571"/>
      <c r="Q843" s="571"/>
      <c r="R843" s="571"/>
      <c r="S843" s="131">
        <f t="shared" si="376"/>
        <v>0</v>
      </c>
    </row>
    <row r="844" spans="1:19" s="80" customFormat="1" ht="15.6" hidden="1" x14ac:dyDescent="0.3">
      <c r="A844" s="267" t="s">
        <v>33</v>
      </c>
      <c r="B844" s="497" t="s">
        <v>76</v>
      </c>
      <c r="C844" s="496" t="s">
        <v>51</v>
      </c>
      <c r="D844" s="497" t="s">
        <v>36</v>
      </c>
      <c r="E844" s="285" t="s">
        <v>1013</v>
      </c>
      <c r="F844" s="497" t="s">
        <v>9</v>
      </c>
      <c r="G844" s="282">
        <f t="shared" ref="G844:R845" si="407">G845</f>
        <v>0</v>
      </c>
      <c r="H844" s="303">
        <f t="shared" si="407"/>
        <v>0</v>
      </c>
      <c r="I844" s="282">
        <f t="shared" si="407"/>
        <v>0</v>
      </c>
      <c r="J844" s="282">
        <f t="shared" si="407"/>
        <v>0</v>
      </c>
      <c r="K844" s="282">
        <f t="shared" si="407"/>
        <v>0</v>
      </c>
      <c r="L844" s="282">
        <f t="shared" si="407"/>
        <v>0</v>
      </c>
      <c r="M844" s="566">
        <f t="shared" si="407"/>
        <v>0</v>
      </c>
      <c r="N844" s="566">
        <f t="shared" si="407"/>
        <v>0</v>
      </c>
      <c r="O844" s="567">
        <f t="shared" si="407"/>
        <v>0</v>
      </c>
      <c r="P844" s="567">
        <f t="shared" si="407"/>
        <v>0</v>
      </c>
      <c r="Q844" s="567">
        <f t="shared" si="407"/>
        <v>0</v>
      </c>
      <c r="R844" s="567">
        <f t="shared" si="407"/>
        <v>0</v>
      </c>
      <c r="S844" s="131">
        <f t="shared" si="376"/>
        <v>0</v>
      </c>
    </row>
    <row r="845" spans="1:19" s="80" customFormat="1" ht="15.6" hidden="1" x14ac:dyDescent="0.3">
      <c r="A845" s="267" t="s">
        <v>1016</v>
      </c>
      <c r="B845" s="497" t="s">
        <v>76</v>
      </c>
      <c r="C845" s="496" t="s">
        <v>51</v>
      </c>
      <c r="D845" s="497" t="s">
        <v>36</v>
      </c>
      <c r="E845" s="285" t="s">
        <v>1012</v>
      </c>
      <c r="F845" s="497" t="s">
        <v>9</v>
      </c>
      <c r="G845" s="282">
        <f t="shared" si="407"/>
        <v>0</v>
      </c>
      <c r="H845" s="303">
        <f t="shared" si="407"/>
        <v>0</v>
      </c>
      <c r="I845" s="282">
        <f t="shared" si="407"/>
        <v>0</v>
      </c>
      <c r="J845" s="282">
        <f t="shared" si="407"/>
        <v>0</v>
      </c>
      <c r="K845" s="282">
        <f t="shared" si="407"/>
        <v>0</v>
      </c>
      <c r="L845" s="282">
        <f t="shared" si="407"/>
        <v>0</v>
      </c>
      <c r="M845" s="566">
        <f t="shared" si="407"/>
        <v>0</v>
      </c>
      <c r="N845" s="566">
        <f t="shared" si="407"/>
        <v>0</v>
      </c>
      <c r="O845" s="567">
        <f t="shared" si="407"/>
        <v>0</v>
      </c>
      <c r="P845" s="567">
        <f t="shared" si="407"/>
        <v>0</v>
      </c>
      <c r="Q845" s="567">
        <f t="shared" si="407"/>
        <v>0</v>
      </c>
      <c r="R845" s="567">
        <f t="shared" si="407"/>
        <v>0</v>
      </c>
      <c r="S845" s="131">
        <f t="shared" si="376"/>
        <v>0</v>
      </c>
    </row>
    <row r="846" spans="1:19" s="80" customFormat="1" ht="31.15" hidden="1" x14ac:dyDescent="0.3">
      <c r="A846" s="264" t="s">
        <v>124</v>
      </c>
      <c r="B846" s="380">
        <v>936</v>
      </c>
      <c r="C846" s="488" t="s">
        <v>51</v>
      </c>
      <c r="D846" s="380" t="s">
        <v>36</v>
      </c>
      <c r="E846" s="265" t="s">
        <v>1012</v>
      </c>
      <c r="F846" s="380" t="s">
        <v>117</v>
      </c>
      <c r="G846" s="282"/>
      <c r="H846" s="303"/>
      <c r="I846" s="265"/>
      <c r="J846" s="265"/>
      <c r="K846" s="265"/>
      <c r="L846" s="265"/>
      <c r="M846" s="570"/>
      <c r="N846" s="570"/>
      <c r="O846" s="571"/>
      <c r="P846" s="571"/>
      <c r="Q846" s="571"/>
      <c r="R846" s="571"/>
      <c r="S846" s="131">
        <f t="shared" si="376"/>
        <v>0</v>
      </c>
    </row>
    <row r="847" spans="1:19" s="80" customFormat="1" ht="15.6" hidden="1" x14ac:dyDescent="0.3">
      <c r="A847" s="267" t="s">
        <v>33</v>
      </c>
      <c r="B847" s="497" t="s">
        <v>76</v>
      </c>
      <c r="C847" s="496" t="s">
        <v>51</v>
      </c>
      <c r="D847" s="497" t="s">
        <v>36</v>
      </c>
      <c r="E847" s="285" t="s">
        <v>1066</v>
      </c>
      <c r="F847" s="497" t="s">
        <v>9</v>
      </c>
      <c r="G847" s="282">
        <f t="shared" ref="G847:R848" si="408">G848</f>
        <v>0</v>
      </c>
      <c r="H847" s="303">
        <f t="shared" si="408"/>
        <v>0</v>
      </c>
      <c r="I847" s="282">
        <f t="shared" si="408"/>
        <v>0</v>
      </c>
      <c r="J847" s="282">
        <f t="shared" si="408"/>
        <v>0</v>
      </c>
      <c r="K847" s="282">
        <f t="shared" si="408"/>
        <v>0</v>
      </c>
      <c r="L847" s="282">
        <f t="shared" si="408"/>
        <v>0</v>
      </c>
      <c r="M847" s="566">
        <f t="shared" si="408"/>
        <v>0</v>
      </c>
      <c r="N847" s="566">
        <f t="shared" si="408"/>
        <v>0</v>
      </c>
      <c r="O847" s="567">
        <f t="shared" si="408"/>
        <v>0</v>
      </c>
      <c r="P847" s="567">
        <f t="shared" si="408"/>
        <v>0</v>
      </c>
      <c r="Q847" s="567">
        <f t="shared" si="408"/>
        <v>0</v>
      </c>
      <c r="R847" s="567">
        <f t="shared" si="408"/>
        <v>0</v>
      </c>
      <c r="S847" s="132">
        <f t="shared" si="376"/>
        <v>0</v>
      </c>
    </row>
    <row r="848" spans="1:19" s="80" customFormat="1" ht="15.6" hidden="1" x14ac:dyDescent="0.3">
      <c r="A848" s="267" t="s">
        <v>1016</v>
      </c>
      <c r="B848" s="497" t="s">
        <v>76</v>
      </c>
      <c r="C848" s="496" t="s">
        <v>51</v>
      </c>
      <c r="D848" s="497" t="s">
        <v>36</v>
      </c>
      <c r="E848" s="285" t="s">
        <v>1067</v>
      </c>
      <c r="F848" s="497" t="s">
        <v>9</v>
      </c>
      <c r="G848" s="282">
        <f t="shared" si="408"/>
        <v>0</v>
      </c>
      <c r="H848" s="303">
        <f t="shared" si="408"/>
        <v>0</v>
      </c>
      <c r="I848" s="282">
        <f t="shared" si="408"/>
        <v>0</v>
      </c>
      <c r="J848" s="282">
        <f t="shared" si="408"/>
        <v>0</v>
      </c>
      <c r="K848" s="282">
        <f t="shared" si="408"/>
        <v>0</v>
      </c>
      <c r="L848" s="282">
        <f t="shared" si="408"/>
        <v>0</v>
      </c>
      <c r="M848" s="566">
        <f t="shared" si="408"/>
        <v>0</v>
      </c>
      <c r="N848" s="566">
        <f t="shared" si="408"/>
        <v>0</v>
      </c>
      <c r="O848" s="567">
        <f t="shared" si="408"/>
        <v>0</v>
      </c>
      <c r="P848" s="567">
        <f t="shared" si="408"/>
        <v>0</v>
      </c>
      <c r="Q848" s="567">
        <f t="shared" si="408"/>
        <v>0</v>
      </c>
      <c r="R848" s="567">
        <f t="shared" si="408"/>
        <v>0</v>
      </c>
      <c r="S848" s="132">
        <f t="shared" ref="S848:S904" si="409">G848+H848+I848+J848+K848+L848+M848+N848+O848+P848+Q848+R848</f>
        <v>0</v>
      </c>
    </row>
    <row r="849" spans="1:19" s="80" customFormat="1" ht="31.15" hidden="1" x14ac:dyDescent="0.3">
      <c r="A849" s="264" t="s">
        <v>124</v>
      </c>
      <c r="B849" s="380">
        <v>936</v>
      </c>
      <c r="C849" s="488" t="s">
        <v>51</v>
      </c>
      <c r="D849" s="380" t="s">
        <v>36</v>
      </c>
      <c r="E849" s="265" t="s">
        <v>1067</v>
      </c>
      <c r="F849" s="380" t="s">
        <v>117</v>
      </c>
      <c r="G849" s="282"/>
      <c r="H849" s="303"/>
      <c r="I849" s="265"/>
      <c r="J849" s="265"/>
      <c r="K849" s="265"/>
      <c r="L849" s="265"/>
      <c r="M849" s="570"/>
      <c r="N849" s="570"/>
      <c r="O849" s="571"/>
      <c r="P849" s="571"/>
      <c r="Q849" s="571"/>
      <c r="R849" s="571"/>
      <c r="S849" s="131">
        <f t="shared" si="409"/>
        <v>0</v>
      </c>
    </row>
    <row r="850" spans="1:19" s="77" customFormat="1" ht="31.5" x14ac:dyDescent="0.25">
      <c r="A850" s="267" t="s">
        <v>99</v>
      </c>
      <c r="B850" s="497" t="s">
        <v>76</v>
      </c>
      <c r="C850" s="496" t="s">
        <v>51</v>
      </c>
      <c r="D850" s="497" t="s">
        <v>36</v>
      </c>
      <c r="E850" s="285" t="s">
        <v>458</v>
      </c>
      <c r="F850" s="497" t="s">
        <v>9</v>
      </c>
      <c r="G850" s="283">
        <f t="shared" ref="G850:R850" si="410">G852+G853+G854+G851</f>
        <v>0</v>
      </c>
      <c r="H850" s="304">
        <f t="shared" si="410"/>
        <v>85</v>
      </c>
      <c r="I850" s="283">
        <f t="shared" si="410"/>
        <v>0</v>
      </c>
      <c r="J850" s="283">
        <f t="shared" si="410"/>
        <v>22</v>
      </c>
      <c r="K850" s="283">
        <f t="shared" si="410"/>
        <v>0</v>
      </c>
      <c r="L850" s="283">
        <f t="shared" si="410"/>
        <v>50</v>
      </c>
      <c r="M850" s="568">
        <f t="shared" si="410"/>
        <v>40</v>
      </c>
      <c r="N850" s="568">
        <f t="shared" si="410"/>
        <v>60</v>
      </c>
      <c r="O850" s="569">
        <f t="shared" si="410"/>
        <v>0</v>
      </c>
      <c r="P850" s="569">
        <f t="shared" si="410"/>
        <v>0</v>
      </c>
      <c r="Q850" s="569">
        <f t="shared" si="410"/>
        <v>0</v>
      </c>
      <c r="R850" s="569">
        <f t="shared" si="410"/>
        <v>0</v>
      </c>
      <c r="S850" s="132">
        <f t="shared" si="409"/>
        <v>257</v>
      </c>
    </row>
    <row r="851" spans="1:19" s="77" customFormat="1" ht="62.45" hidden="1" x14ac:dyDescent="0.3">
      <c r="A851" s="264" t="s">
        <v>115</v>
      </c>
      <c r="B851" s="380" t="s">
        <v>76</v>
      </c>
      <c r="C851" s="488" t="s">
        <v>51</v>
      </c>
      <c r="D851" s="380" t="s">
        <v>36</v>
      </c>
      <c r="E851" s="265" t="s">
        <v>458</v>
      </c>
      <c r="F851" s="380" t="s">
        <v>113</v>
      </c>
      <c r="G851" s="283"/>
      <c r="H851" s="304"/>
      <c r="I851" s="282"/>
      <c r="J851" s="283"/>
      <c r="K851" s="283"/>
      <c r="L851" s="283"/>
      <c r="M851" s="568"/>
      <c r="N851" s="568"/>
      <c r="O851" s="132"/>
      <c r="P851" s="132"/>
      <c r="Q851" s="132"/>
      <c r="R851" s="132"/>
      <c r="S851" s="131">
        <f t="shared" si="409"/>
        <v>0</v>
      </c>
    </row>
    <row r="852" spans="1:19" s="77" customFormat="1" ht="31.5" x14ac:dyDescent="0.25">
      <c r="A852" s="264" t="s">
        <v>124</v>
      </c>
      <c r="B852" s="380" t="s">
        <v>76</v>
      </c>
      <c r="C852" s="488" t="s">
        <v>51</v>
      </c>
      <c r="D852" s="380" t="s">
        <v>36</v>
      </c>
      <c r="E852" s="265" t="s">
        <v>458</v>
      </c>
      <c r="F852" s="601" t="s">
        <v>117</v>
      </c>
      <c r="G852" s="282"/>
      <c r="H852" s="361">
        <f>75+10</f>
        <v>85</v>
      </c>
      <c r="I852" s="265"/>
      <c r="J852" s="265">
        <f>13+9</f>
        <v>22</v>
      </c>
      <c r="K852" s="265"/>
      <c r="L852" s="265">
        <v>50</v>
      </c>
      <c r="M852" s="602">
        <v>40</v>
      </c>
      <c r="N852" s="570">
        <v>60</v>
      </c>
      <c r="O852" s="571"/>
      <c r="P852" s="571"/>
      <c r="Q852" s="571"/>
      <c r="R852" s="571"/>
      <c r="S852" s="566">
        <f t="shared" si="409"/>
        <v>257</v>
      </c>
    </row>
    <row r="853" spans="1:19" s="80" customFormat="1" ht="31.15" hidden="1" x14ac:dyDescent="0.3">
      <c r="A853" s="264" t="s">
        <v>469</v>
      </c>
      <c r="B853" s="380" t="s">
        <v>76</v>
      </c>
      <c r="C853" s="488" t="s">
        <v>51</v>
      </c>
      <c r="D853" s="380" t="s">
        <v>36</v>
      </c>
      <c r="E853" s="265" t="s">
        <v>458</v>
      </c>
      <c r="F853" s="380" t="s">
        <v>213</v>
      </c>
      <c r="G853" s="282"/>
      <c r="H853" s="303"/>
      <c r="I853" s="265"/>
      <c r="J853" s="265"/>
      <c r="K853" s="265"/>
      <c r="L853" s="265"/>
      <c r="M853" s="570"/>
      <c r="N853" s="570"/>
      <c r="O853" s="571"/>
      <c r="P853" s="571"/>
      <c r="Q853" s="571"/>
      <c r="R853" s="571"/>
      <c r="S853" s="131">
        <f t="shared" si="409"/>
        <v>0</v>
      </c>
    </row>
    <row r="854" spans="1:19" s="80" customFormat="1" ht="31.15" hidden="1" x14ac:dyDescent="0.3">
      <c r="A854" s="264" t="s">
        <v>843</v>
      </c>
      <c r="B854" s="380" t="s">
        <v>76</v>
      </c>
      <c r="C854" s="488" t="s">
        <v>51</v>
      </c>
      <c r="D854" s="380" t="s">
        <v>36</v>
      </c>
      <c r="E854" s="265" t="s">
        <v>458</v>
      </c>
      <c r="F854" s="601" t="s">
        <v>490</v>
      </c>
      <c r="G854" s="282"/>
      <c r="H854" s="303"/>
      <c r="I854" s="265"/>
      <c r="J854" s="265"/>
      <c r="K854" s="265"/>
      <c r="L854" s="265"/>
      <c r="M854" s="570"/>
      <c r="N854" s="570"/>
      <c r="O854" s="571"/>
      <c r="P854" s="571"/>
      <c r="Q854" s="571"/>
      <c r="R854" s="571"/>
      <c r="S854" s="131">
        <f t="shared" si="409"/>
        <v>0</v>
      </c>
    </row>
    <row r="855" spans="1:19" s="77" customFormat="1" ht="31.15" hidden="1" x14ac:dyDescent="0.3">
      <c r="A855" s="267" t="s">
        <v>995</v>
      </c>
      <c r="B855" s="497" t="s">
        <v>76</v>
      </c>
      <c r="C855" s="496" t="s">
        <v>51</v>
      </c>
      <c r="D855" s="497" t="s">
        <v>36</v>
      </c>
      <c r="E855" s="285" t="s">
        <v>864</v>
      </c>
      <c r="F855" s="497" t="s">
        <v>9</v>
      </c>
      <c r="G855" s="283">
        <f t="shared" ref="G855:R855" si="411">G856</f>
        <v>0</v>
      </c>
      <c r="H855" s="304">
        <f t="shared" si="411"/>
        <v>0</v>
      </c>
      <c r="I855" s="283">
        <f t="shared" si="411"/>
        <v>0</v>
      </c>
      <c r="J855" s="283">
        <f t="shared" si="411"/>
        <v>0</v>
      </c>
      <c r="K855" s="283">
        <f t="shared" si="411"/>
        <v>0</v>
      </c>
      <c r="L855" s="283">
        <f t="shared" si="411"/>
        <v>0</v>
      </c>
      <c r="M855" s="568">
        <f t="shared" si="411"/>
        <v>0</v>
      </c>
      <c r="N855" s="568">
        <f t="shared" si="411"/>
        <v>0</v>
      </c>
      <c r="O855" s="569">
        <f t="shared" si="411"/>
        <v>0</v>
      </c>
      <c r="P855" s="569">
        <f t="shared" si="411"/>
        <v>0</v>
      </c>
      <c r="Q855" s="569">
        <f t="shared" si="411"/>
        <v>0</v>
      </c>
      <c r="R855" s="569">
        <f t="shared" si="411"/>
        <v>0</v>
      </c>
      <c r="S855" s="132">
        <f t="shared" si="409"/>
        <v>0</v>
      </c>
    </row>
    <row r="856" spans="1:19" s="77" customFormat="1" ht="31.15" hidden="1" x14ac:dyDescent="0.3">
      <c r="A856" s="264" t="s">
        <v>843</v>
      </c>
      <c r="B856" s="380" t="s">
        <v>76</v>
      </c>
      <c r="C856" s="488" t="s">
        <v>51</v>
      </c>
      <c r="D856" s="380" t="s">
        <v>36</v>
      </c>
      <c r="E856" s="265" t="s">
        <v>864</v>
      </c>
      <c r="F856" s="380" t="s">
        <v>490</v>
      </c>
      <c r="G856" s="282"/>
      <c r="H856" s="303"/>
      <c r="I856" s="265"/>
      <c r="J856" s="265"/>
      <c r="K856" s="265"/>
      <c r="L856" s="265"/>
      <c r="M856" s="570"/>
      <c r="N856" s="570"/>
      <c r="O856" s="571"/>
      <c r="P856" s="571"/>
      <c r="Q856" s="571"/>
      <c r="R856" s="571"/>
      <c r="S856" s="131">
        <f t="shared" si="409"/>
        <v>0</v>
      </c>
    </row>
    <row r="857" spans="1:19" s="77" customFormat="1" x14ac:dyDescent="0.25">
      <c r="A857" s="267" t="s">
        <v>996</v>
      </c>
      <c r="B857" s="497" t="s">
        <v>76</v>
      </c>
      <c r="C857" s="496" t="s">
        <v>51</v>
      </c>
      <c r="D857" s="497" t="s">
        <v>20</v>
      </c>
      <c r="E857" s="285" t="s">
        <v>365</v>
      </c>
      <c r="F857" s="497" t="s">
        <v>9</v>
      </c>
      <c r="G857" s="283">
        <f t="shared" ref="G857:R858" si="412">G858</f>
        <v>1500</v>
      </c>
      <c r="H857" s="304">
        <f t="shared" si="412"/>
        <v>13313</v>
      </c>
      <c r="I857" s="283">
        <f t="shared" si="412"/>
        <v>-750</v>
      </c>
      <c r="J857" s="283">
        <f t="shared" si="412"/>
        <v>12</v>
      </c>
      <c r="K857" s="283">
        <f t="shared" si="412"/>
        <v>555.6</v>
      </c>
      <c r="L857" s="283">
        <f t="shared" si="412"/>
        <v>0</v>
      </c>
      <c r="M857" s="568">
        <f t="shared" si="412"/>
        <v>-178.2</v>
      </c>
      <c r="N857" s="568">
        <f t="shared" si="412"/>
        <v>0</v>
      </c>
      <c r="O857" s="569">
        <f t="shared" si="412"/>
        <v>0</v>
      </c>
      <c r="P857" s="569">
        <f t="shared" si="412"/>
        <v>0</v>
      </c>
      <c r="Q857" s="569">
        <f t="shared" si="412"/>
        <v>0</v>
      </c>
      <c r="R857" s="569">
        <f t="shared" si="412"/>
        <v>0</v>
      </c>
      <c r="S857" s="132">
        <f t="shared" si="409"/>
        <v>14452.4</v>
      </c>
    </row>
    <row r="858" spans="1:19" s="77" customFormat="1" ht="31.5" x14ac:dyDescent="0.25">
      <c r="A858" s="267" t="s">
        <v>784</v>
      </c>
      <c r="B858" s="497" t="s">
        <v>76</v>
      </c>
      <c r="C858" s="496" t="s">
        <v>51</v>
      </c>
      <c r="D858" s="497" t="s">
        <v>20</v>
      </c>
      <c r="E858" s="285" t="s">
        <v>380</v>
      </c>
      <c r="F858" s="497" t="s">
        <v>9</v>
      </c>
      <c r="G858" s="283">
        <f t="shared" si="412"/>
        <v>1500</v>
      </c>
      <c r="H858" s="304">
        <f t="shared" si="412"/>
        <v>13313</v>
      </c>
      <c r="I858" s="283">
        <f t="shared" si="412"/>
        <v>-750</v>
      </c>
      <c r="J858" s="283">
        <f t="shared" si="412"/>
        <v>12</v>
      </c>
      <c r="K858" s="283">
        <f t="shared" si="412"/>
        <v>555.6</v>
      </c>
      <c r="L858" s="283">
        <f t="shared" si="412"/>
        <v>0</v>
      </c>
      <c r="M858" s="568">
        <f t="shared" si="412"/>
        <v>-178.2</v>
      </c>
      <c r="N858" s="568">
        <f t="shared" si="412"/>
        <v>0</v>
      </c>
      <c r="O858" s="569">
        <f t="shared" si="412"/>
        <v>0</v>
      </c>
      <c r="P858" s="569">
        <f t="shared" si="412"/>
        <v>0</v>
      </c>
      <c r="Q858" s="569">
        <f t="shared" si="412"/>
        <v>0</v>
      </c>
      <c r="R858" s="569">
        <f t="shared" si="412"/>
        <v>0</v>
      </c>
      <c r="S858" s="132">
        <f t="shared" si="409"/>
        <v>14452.4</v>
      </c>
    </row>
    <row r="859" spans="1:19" s="77" customFormat="1" x14ac:dyDescent="0.25">
      <c r="A859" s="267" t="s">
        <v>15</v>
      </c>
      <c r="B859" s="497" t="s">
        <v>76</v>
      </c>
      <c r="C859" s="496" t="s">
        <v>51</v>
      </c>
      <c r="D859" s="497" t="s">
        <v>20</v>
      </c>
      <c r="E859" s="285" t="s">
        <v>433</v>
      </c>
      <c r="F859" s="497" t="s">
        <v>9</v>
      </c>
      <c r="G859" s="283">
        <f t="shared" ref="G859:R859" si="413">G860+G862+G868+G864</f>
        <v>1500</v>
      </c>
      <c r="H859" s="283">
        <f t="shared" si="413"/>
        <v>13313</v>
      </c>
      <c r="I859" s="283">
        <f t="shared" si="413"/>
        <v>-750</v>
      </c>
      <c r="J859" s="283">
        <f t="shared" si="413"/>
        <v>12</v>
      </c>
      <c r="K859" s="283">
        <f t="shared" si="413"/>
        <v>555.6</v>
      </c>
      <c r="L859" s="283">
        <f t="shared" si="413"/>
        <v>0</v>
      </c>
      <c r="M859" s="568">
        <f t="shared" si="413"/>
        <v>-178.2</v>
      </c>
      <c r="N859" s="568">
        <f t="shared" si="413"/>
        <v>0</v>
      </c>
      <c r="O859" s="132">
        <f t="shared" si="413"/>
        <v>0</v>
      </c>
      <c r="P859" s="132">
        <f t="shared" si="413"/>
        <v>0</v>
      </c>
      <c r="Q859" s="132">
        <f t="shared" si="413"/>
        <v>0</v>
      </c>
      <c r="R859" s="132">
        <f t="shared" si="413"/>
        <v>0</v>
      </c>
      <c r="S859" s="132">
        <f t="shared" si="409"/>
        <v>14452.4</v>
      </c>
    </row>
    <row r="860" spans="1:19" s="77" customFormat="1" ht="31.5" x14ac:dyDescent="0.25">
      <c r="A860" s="267" t="s">
        <v>997</v>
      </c>
      <c r="B860" s="497" t="s">
        <v>76</v>
      </c>
      <c r="C860" s="496" t="s">
        <v>51</v>
      </c>
      <c r="D860" s="497" t="s">
        <v>20</v>
      </c>
      <c r="E860" s="285" t="s">
        <v>493</v>
      </c>
      <c r="F860" s="497" t="s">
        <v>9</v>
      </c>
      <c r="G860" s="283">
        <f t="shared" ref="G860:R860" si="414">G861</f>
        <v>0</v>
      </c>
      <c r="H860" s="304">
        <f t="shared" si="414"/>
        <v>1613</v>
      </c>
      <c r="I860" s="283">
        <f t="shared" si="414"/>
        <v>0</v>
      </c>
      <c r="J860" s="283">
        <f t="shared" si="414"/>
        <v>12</v>
      </c>
      <c r="K860" s="283">
        <f t="shared" si="414"/>
        <v>0</v>
      </c>
      <c r="L860" s="283">
        <f t="shared" si="414"/>
        <v>0</v>
      </c>
      <c r="M860" s="568">
        <f t="shared" si="414"/>
        <v>-178.2</v>
      </c>
      <c r="N860" s="568">
        <f t="shared" si="414"/>
        <v>0</v>
      </c>
      <c r="O860" s="569">
        <f t="shared" si="414"/>
        <v>0</v>
      </c>
      <c r="P860" s="569">
        <f t="shared" si="414"/>
        <v>0</v>
      </c>
      <c r="Q860" s="569">
        <f t="shared" si="414"/>
        <v>0</v>
      </c>
      <c r="R860" s="569">
        <f t="shared" si="414"/>
        <v>0</v>
      </c>
      <c r="S860" s="132">
        <f t="shared" si="409"/>
        <v>1446.8</v>
      </c>
    </row>
    <row r="861" spans="1:19" s="77" customFormat="1" ht="31.5" x14ac:dyDescent="0.25">
      <c r="A861" s="264" t="s">
        <v>843</v>
      </c>
      <c r="B861" s="380" t="s">
        <v>76</v>
      </c>
      <c r="C861" s="488" t="s">
        <v>51</v>
      </c>
      <c r="D861" s="380" t="s">
        <v>20</v>
      </c>
      <c r="E861" s="265" t="s">
        <v>493</v>
      </c>
      <c r="F861" s="380" t="s">
        <v>490</v>
      </c>
      <c r="G861" s="282"/>
      <c r="H861" s="303">
        <f>13313-10000-1700</f>
        <v>1613</v>
      </c>
      <c r="I861" s="265"/>
      <c r="J861" s="265">
        <f>12</f>
        <v>12</v>
      </c>
      <c r="K861" s="265"/>
      <c r="L861" s="282"/>
      <c r="M861" s="602">
        <v>-178.2</v>
      </c>
      <c r="N861" s="570"/>
      <c r="O861" s="571"/>
      <c r="P861" s="571"/>
      <c r="Q861" s="571"/>
      <c r="R861" s="571"/>
      <c r="S861" s="566">
        <f t="shared" si="409"/>
        <v>1446.8</v>
      </c>
    </row>
    <row r="862" spans="1:19" s="77" customFormat="1" ht="31.5" x14ac:dyDescent="0.25">
      <c r="A862" s="267" t="s">
        <v>997</v>
      </c>
      <c r="B862" s="497" t="s">
        <v>76</v>
      </c>
      <c r="C862" s="496" t="s">
        <v>51</v>
      </c>
      <c r="D862" s="497" t="s">
        <v>20</v>
      </c>
      <c r="E862" s="285" t="s">
        <v>998</v>
      </c>
      <c r="F862" s="497" t="s">
        <v>9</v>
      </c>
      <c r="G862" s="283">
        <f t="shared" ref="G862:R862" si="415">G863</f>
        <v>0</v>
      </c>
      <c r="H862" s="304">
        <f t="shared" si="415"/>
        <v>11700</v>
      </c>
      <c r="I862" s="283">
        <f t="shared" si="415"/>
        <v>0</v>
      </c>
      <c r="J862" s="283">
        <f t="shared" si="415"/>
        <v>0</v>
      </c>
      <c r="K862" s="283">
        <f t="shared" si="415"/>
        <v>555.6</v>
      </c>
      <c r="L862" s="283">
        <f t="shared" si="415"/>
        <v>0</v>
      </c>
      <c r="M862" s="568">
        <f t="shared" si="415"/>
        <v>0</v>
      </c>
      <c r="N862" s="568">
        <f t="shared" si="415"/>
        <v>0</v>
      </c>
      <c r="O862" s="569">
        <f t="shared" si="415"/>
        <v>0</v>
      </c>
      <c r="P862" s="569">
        <f t="shared" si="415"/>
        <v>0</v>
      </c>
      <c r="Q862" s="569">
        <f t="shared" si="415"/>
        <v>0</v>
      </c>
      <c r="R862" s="569">
        <f t="shared" si="415"/>
        <v>0</v>
      </c>
      <c r="S862" s="132">
        <f t="shared" si="409"/>
        <v>12255.6</v>
      </c>
    </row>
    <row r="863" spans="1:19" s="77" customFormat="1" ht="31.5" x14ac:dyDescent="0.25">
      <c r="A863" s="264" t="s">
        <v>843</v>
      </c>
      <c r="B863" s="380" t="s">
        <v>76</v>
      </c>
      <c r="C863" s="488" t="s">
        <v>51</v>
      </c>
      <c r="D863" s="380" t="s">
        <v>20</v>
      </c>
      <c r="E863" s="265" t="s">
        <v>998</v>
      </c>
      <c r="F863" s="380" t="s">
        <v>490</v>
      </c>
      <c r="G863" s="282"/>
      <c r="H863" s="303">
        <f>10000+1700</f>
        <v>11700</v>
      </c>
      <c r="I863" s="265"/>
      <c r="J863" s="265"/>
      <c r="K863" s="419">
        <v>555.6</v>
      </c>
      <c r="L863" s="265"/>
      <c r="M863" s="570"/>
      <c r="N863" s="570"/>
      <c r="O863" s="571"/>
      <c r="P863" s="571"/>
      <c r="Q863" s="571"/>
      <c r="R863" s="571"/>
      <c r="S863" s="566">
        <f t="shared" si="409"/>
        <v>12255.6</v>
      </c>
    </row>
    <row r="864" spans="1:19" s="80" customFormat="1" x14ac:dyDescent="0.25">
      <c r="A864" s="267" t="s">
        <v>33</v>
      </c>
      <c r="B864" s="497" t="s">
        <v>76</v>
      </c>
      <c r="C864" s="496" t="s">
        <v>51</v>
      </c>
      <c r="D864" s="497" t="s">
        <v>20</v>
      </c>
      <c r="E864" s="285" t="s">
        <v>1066</v>
      </c>
      <c r="F864" s="497" t="s">
        <v>9</v>
      </c>
      <c r="G864" s="283">
        <f t="shared" ref="G864:R864" si="416">G865</f>
        <v>1500</v>
      </c>
      <c r="H864" s="283">
        <f t="shared" si="416"/>
        <v>0</v>
      </c>
      <c r="I864" s="283">
        <f t="shared" si="416"/>
        <v>-750</v>
      </c>
      <c r="J864" s="283">
        <f t="shared" si="416"/>
        <v>0</v>
      </c>
      <c r="K864" s="283">
        <f t="shared" si="416"/>
        <v>0</v>
      </c>
      <c r="L864" s="283">
        <f t="shared" si="416"/>
        <v>0</v>
      </c>
      <c r="M864" s="568">
        <f t="shared" si="416"/>
        <v>0</v>
      </c>
      <c r="N864" s="568">
        <f t="shared" si="416"/>
        <v>0</v>
      </c>
      <c r="O864" s="132">
        <f t="shared" si="416"/>
        <v>0</v>
      </c>
      <c r="P864" s="132">
        <f t="shared" si="416"/>
        <v>0</v>
      </c>
      <c r="Q864" s="132">
        <f t="shared" si="416"/>
        <v>0</v>
      </c>
      <c r="R864" s="132">
        <f t="shared" si="416"/>
        <v>0</v>
      </c>
      <c r="S864" s="132">
        <f t="shared" si="409"/>
        <v>750</v>
      </c>
    </row>
    <row r="865" spans="1:19" s="77" customFormat="1" x14ac:dyDescent="0.25">
      <c r="A865" s="267" t="s">
        <v>1016</v>
      </c>
      <c r="B865" s="497" t="s">
        <v>76</v>
      </c>
      <c r="C865" s="496" t="s">
        <v>51</v>
      </c>
      <c r="D865" s="497" t="s">
        <v>20</v>
      </c>
      <c r="E865" s="285" t="s">
        <v>1067</v>
      </c>
      <c r="F865" s="497" t="s">
        <v>9</v>
      </c>
      <c r="G865" s="283">
        <f t="shared" ref="G865:R865" si="417">G866+G867</f>
        <v>1500</v>
      </c>
      <c r="H865" s="283">
        <f t="shared" si="417"/>
        <v>0</v>
      </c>
      <c r="I865" s="283">
        <f t="shared" si="417"/>
        <v>-750</v>
      </c>
      <c r="J865" s="283">
        <f t="shared" si="417"/>
        <v>0</v>
      </c>
      <c r="K865" s="283">
        <f t="shared" si="417"/>
        <v>0</v>
      </c>
      <c r="L865" s="283">
        <f t="shared" si="417"/>
        <v>0</v>
      </c>
      <c r="M865" s="568">
        <f t="shared" si="417"/>
        <v>0</v>
      </c>
      <c r="N865" s="568">
        <f t="shared" si="417"/>
        <v>0</v>
      </c>
      <c r="O865" s="132">
        <f t="shared" si="417"/>
        <v>0</v>
      </c>
      <c r="P865" s="132">
        <f t="shared" si="417"/>
        <v>0</v>
      </c>
      <c r="Q865" s="132">
        <f t="shared" si="417"/>
        <v>0</v>
      </c>
      <c r="R865" s="132">
        <f t="shared" si="417"/>
        <v>0</v>
      </c>
      <c r="S865" s="132">
        <f t="shared" si="409"/>
        <v>750</v>
      </c>
    </row>
    <row r="866" spans="1:19" s="77" customFormat="1" ht="22.5" hidden="1" customHeight="1" x14ac:dyDescent="0.3">
      <c r="A866" s="264" t="s">
        <v>124</v>
      </c>
      <c r="B866" s="380">
        <v>936</v>
      </c>
      <c r="C866" s="488" t="s">
        <v>51</v>
      </c>
      <c r="D866" s="380" t="s">
        <v>20</v>
      </c>
      <c r="E866" s="265" t="s">
        <v>1067</v>
      </c>
      <c r="F866" s="380" t="s">
        <v>117</v>
      </c>
      <c r="G866" s="360">
        <f>1000+500</f>
        <v>1500</v>
      </c>
      <c r="H866" s="303"/>
      <c r="I866" s="282">
        <v>-1500</v>
      </c>
      <c r="J866" s="282"/>
      <c r="K866" s="282"/>
      <c r="L866" s="282"/>
      <c r="M866" s="566"/>
      <c r="N866" s="566"/>
      <c r="O866" s="567"/>
      <c r="P866" s="567"/>
      <c r="Q866" s="567"/>
      <c r="R866" s="567"/>
      <c r="S866" s="131">
        <f t="shared" si="409"/>
        <v>0</v>
      </c>
    </row>
    <row r="867" spans="1:19" s="77" customFormat="1" ht="31.5" x14ac:dyDescent="0.25">
      <c r="A867" s="264" t="s">
        <v>843</v>
      </c>
      <c r="B867" s="380">
        <v>936</v>
      </c>
      <c r="C867" s="488" t="s">
        <v>51</v>
      </c>
      <c r="D867" s="380" t="s">
        <v>20</v>
      </c>
      <c r="E867" s="265" t="s">
        <v>1067</v>
      </c>
      <c r="F867" s="380" t="s">
        <v>490</v>
      </c>
      <c r="G867" s="360"/>
      <c r="H867" s="303"/>
      <c r="I867" s="282">
        <v>750</v>
      </c>
      <c r="J867" s="282"/>
      <c r="K867" s="282"/>
      <c r="L867" s="282"/>
      <c r="M867" s="566"/>
      <c r="N867" s="566"/>
      <c r="O867" s="567"/>
      <c r="P867" s="567"/>
      <c r="Q867" s="567"/>
      <c r="R867" s="567"/>
      <c r="S867" s="566">
        <f t="shared" si="409"/>
        <v>750</v>
      </c>
    </row>
    <row r="868" spans="1:19" s="77" customFormat="1" ht="15.6" hidden="1" x14ac:dyDescent="0.3">
      <c r="A868" s="267" t="s">
        <v>798</v>
      </c>
      <c r="B868" s="497">
        <v>936</v>
      </c>
      <c r="C868" s="497">
        <v>11</v>
      </c>
      <c r="D868" s="497" t="s">
        <v>20</v>
      </c>
      <c r="E868" s="285" t="s">
        <v>1015</v>
      </c>
      <c r="F868" s="497" t="s">
        <v>9</v>
      </c>
      <c r="G868" s="283">
        <f t="shared" ref="G868:R871" si="418">G869</f>
        <v>0</v>
      </c>
      <c r="H868" s="304">
        <f t="shared" si="418"/>
        <v>0</v>
      </c>
      <c r="I868" s="283">
        <f t="shared" si="418"/>
        <v>0</v>
      </c>
      <c r="J868" s="283">
        <f t="shared" si="418"/>
        <v>0</v>
      </c>
      <c r="K868" s="283">
        <f t="shared" si="418"/>
        <v>0</v>
      </c>
      <c r="L868" s="283">
        <f t="shared" si="418"/>
        <v>0</v>
      </c>
      <c r="M868" s="568">
        <f t="shared" si="418"/>
        <v>0</v>
      </c>
      <c r="N868" s="568">
        <f t="shared" si="418"/>
        <v>0</v>
      </c>
      <c r="O868" s="569">
        <f t="shared" si="418"/>
        <v>0</v>
      </c>
      <c r="P868" s="569">
        <f t="shared" si="418"/>
        <v>0</v>
      </c>
      <c r="Q868" s="569">
        <f t="shared" si="418"/>
        <v>0</v>
      </c>
      <c r="R868" s="569">
        <f t="shared" si="418"/>
        <v>0</v>
      </c>
      <c r="S868" s="131">
        <f t="shared" si="409"/>
        <v>0</v>
      </c>
    </row>
    <row r="869" spans="1:19" s="77" customFormat="1" ht="15.6" hidden="1" x14ac:dyDescent="0.3">
      <c r="A869" s="267" t="s">
        <v>799</v>
      </c>
      <c r="B869" s="497" t="s">
        <v>76</v>
      </c>
      <c r="C869" s="496" t="s">
        <v>51</v>
      </c>
      <c r="D869" s="497" t="s">
        <v>20</v>
      </c>
      <c r="E869" s="285" t="s">
        <v>1014</v>
      </c>
      <c r="F869" s="497" t="s">
        <v>9</v>
      </c>
      <c r="G869" s="283">
        <f t="shared" si="418"/>
        <v>0</v>
      </c>
      <c r="H869" s="304">
        <f t="shared" si="418"/>
        <v>0</v>
      </c>
      <c r="I869" s="283">
        <f t="shared" si="418"/>
        <v>0</v>
      </c>
      <c r="J869" s="283">
        <f t="shared" si="418"/>
        <v>0</v>
      </c>
      <c r="K869" s="283">
        <f t="shared" si="418"/>
        <v>0</v>
      </c>
      <c r="L869" s="283">
        <f t="shared" si="418"/>
        <v>0</v>
      </c>
      <c r="M869" s="568">
        <f t="shared" si="418"/>
        <v>0</v>
      </c>
      <c r="N869" s="568">
        <f t="shared" si="418"/>
        <v>0</v>
      </c>
      <c r="O869" s="569">
        <f t="shared" si="418"/>
        <v>0</v>
      </c>
      <c r="P869" s="569">
        <f t="shared" si="418"/>
        <v>0</v>
      </c>
      <c r="Q869" s="569">
        <f t="shared" si="418"/>
        <v>0</v>
      </c>
      <c r="R869" s="569">
        <f t="shared" si="418"/>
        <v>0</v>
      </c>
      <c r="S869" s="131">
        <f t="shared" si="409"/>
        <v>0</v>
      </c>
    </row>
    <row r="870" spans="1:19" s="77" customFormat="1" ht="15.6" hidden="1" x14ac:dyDescent="0.3">
      <c r="A870" s="267" t="s">
        <v>33</v>
      </c>
      <c r="B870" s="497" t="s">
        <v>76</v>
      </c>
      <c r="C870" s="496" t="s">
        <v>51</v>
      </c>
      <c r="D870" s="497" t="s">
        <v>20</v>
      </c>
      <c r="E870" s="285" t="s">
        <v>1013</v>
      </c>
      <c r="F870" s="497" t="s">
        <v>9</v>
      </c>
      <c r="G870" s="283">
        <f t="shared" si="418"/>
        <v>0</v>
      </c>
      <c r="H870" s="283">
        <f t="shared" si="418"/>
        <v>0</v>
      </c>
      <c r="I870" s="283">
        <f t="shared" si="418"/>
        <v>0</v>
      </c>
      <c r="J870" s="283">
        <f t="shared" si="418"/>
        <v>0</v>
      </c>
      <c r="K870" s="283">
        <f t="shared" si="418"/>
        <v>0</v>
      </c>
      <c r="L870" s="283">
        <f t="shared" si="418"/>
        <v>0</v>
      </c>
      <c r="M870" s="568">
        <f t="shared" si="418"/>
        <v>0</v>
      </c>
      <c r="N870" s="568">
        <f t="shared" si="418"/>
        <v>0</v>
      </c>
      <c r="O870" s="132">
        <f t="shared" si="418"/>
        <v>0</v>
      </c>
      <c r="P870" s="132">
        <f t="shared" si="418"/>
        <v>0</v>
      </c>
      <c r="Q870" s="132">
        <f t="shared" si="418"/>
        <v>0</v>
      </c>
      <c r="R870" s="132">
        <f t="shared" si="418"/>
        <v>0</v>
      </c>
      <c r="S870" s="131">
        <f t="shared" si="409"/>
        <v>0</v>
      </c>
    </row>
    <row r="871" spans="1:19" s="77" customFormat="1" ht="15.6" hidden="1" x14ac:dyDescent="0.3">
      <c r="A871" s="267" t="s">
        <v>1016</v>
      </c>
      <c r="B871" s="497" t="s">
        <v>76</v>
      </c>
      <c r="C871" s="496" t="s">
        <v>51</v>
      </c>
      <c r="D871" s="497" t="s">
        <v>20</v>
      </c>
      <c r="E871" s="285" t="s">
        <v>1012</v>
      </c>
      <c r="F871" s="497" t="s">
        <v>9</v>
      </c>
      <c r="G871" s="283">
        <f t="shared" si="418"/>
        <v>0</v>
      </c>
      <c r="H871" s="283">
        <f t="shared" si="418"/>
        <v>0</v>
      </c>
      <c r="I871" s="283">
        <f t="shared" si="418"/>
        <v>0</v>
      </c>
      <c r="J871" s="283">
        <f t="shared" si="418"/>
        <v>0</v>
      </c>
      <c r="K871" s="283">
        <f t="shared" si="418"/>
        <v>0</v>
      </c>
      <c r="L871" s="283">
        <f t="shared" si="418"/>
        <v>0</v>
      </c>
      <c r="M871" s="568">
        <f t="shared" si="418"/>
        <v>0</v>
      </c>
      <c r="N871" s="568">
        <f t="shared" si="418"/>
        <v>0</v>
      </c>
      <c r="O871" s="132">
        <f t="shared" si="418"/>
        <v>0</v>
      </c>
      <c r="P871" s="132">
        <f t="shared" si="418"/>
        <v>0</v>
      </c>
      <c r="Q871" s="132">
        <f t="shared" si="418"/>
        <v>0</v>
      </c>
      <c r="R871" s="132">
        <f t="shared" si="418"/>
        <v>0</v>
      </c>
      <c r="S871" s="131">
        <f t="shared" si="409"/>
        <v>0</v>
      </c>
    </row>
    <row r="872" spans="1:19" s="77" customFormat="1" ht="31.15" hidden="1" x14ac:dyDescent="0.3">
      <c r="A872" s="264" t="s">
        <v>124</v>
      </c>
      <c r="B872" s="380">
        <v>936</v>
      </c>
      <c r="C872" s="488" t="s">
        <v>51</v>
      </c>
      <c r="D872" s="380" t="s">
        <v>20</v>
      </c>
      <c r="E872" s="265" t="s">
        <v>1012</v>
      </c>
      <c r="F872" s="380" t="s">
        <v>117</v>
      </c>
      <c r="G872" s="282"/>
      <c r="H872" s="303"/>
      <c r="I872" s="265"/>
      <c r="J872" s="265"/>
      <c r="K872" s="265"/>
      <c r="L872" s="265"/>
      <c r="M872" s="570"/>
      <c r="N872" s="570"/>
      <c r="O872" s="571"/>
      <c r="P872" s="571"/>
      <c r="Q872" s="571"/>
      <c r="R872" s="571"/>
      <c r="S872" s="131">
        <f t="shared" si="409"/>
        <v>0</v>
      </c>
    </row>
    <row r="873" spans="1:19" s="77" customFormat="1" x14ac:dyDescent="0.25">
      <c r="A873" s="264" t="s">
        <v>59</v>
      </c>
      <c r="B873" s="380">
        <v>936</v>
      </c>
      <c r="C873" s="488" t="s">
        <v>28</v>
      </c>
      <c r="D873" s="380" t="s">
        <v>10</v>
      </c>
      <c r="E873" s="265" t="s">
        <v>365</v>
      </c>
      <c r="F873" s="380" t="s">
        <v>9</v>
      </c>
      <c r="G873" s="282">
        <f t="shared" ref="G873:R876" si="419">G874</f>
        <v>0</v>
      </c>
      <c r="H873" s="303">
        <f t="shared" si="419"/>
        <v>14.3</v>
      </c>
      <c r="I873" s="282">
        <f t="shared" si="419"/>
        <v>0</v>
      </c>
      <c r="J873" s="282">
        <f t="shared" si="419"/>
        <v>0</v>
      </c>
      <c r="K873" s="282">
        <f t="shared" si="419"/>
        <v>0</v>
      </c>
      <c r="L873" s="282">
        <f t="shared" si="419"/>
        <v>0</v>
      </c>
      <c r="M873" s="566">
        <f t="shared" si="419"/>
        <v>0</v>
      </c>
      <c r="N873" s="566">
        <f t="shared" si="419"/>
        <v>0</v>
      </c>
      <c r="O873" s="131">
        <f t="shared" si="419"/>
        <v>0</v>
      </c>
      <c r="P873" s="131">
        <f t="shared" si="419"/>
        <v>0</v>
      </c>
      <c r="Q873" s="131">
        <f t="shared" si="419"/>
        <v>0</v>
      </c>
      <c r="R873" s="131">
        <f t="shared" si="419"/>
        <v>0</v>
      </c>
      <c r="S873" s="131">
        <f t="shared" si="409"/>
        <v>14.3</v>
      </c>
    </row>
    <row r="874" spans="1:19" s="77" customFormat="1" ht="31.5" x14ac:dyDescent="0.25">
      <c r="A874" s="267" t="s">
        <v>60</v>
      </c>
      <c r="B874" s="380">
        <v>936</v>
      </c>
      <c r="C874" s="496" t="s">
        <v>28</v>
      </c>
      <c r="D874" s="497" t="s">
        <v>14</v>
      </c>
      <c r="E874" s="285" t="s">
        <v>365</v>
      </c>
      <c r="F874" s="497" t="s">
        <v>9</v>
      </c>
      <c r="G874" s="282">
        <f t="shared" si="419"/>
        <v>0</v>
      </c>
      <c r="H874" s="303">
        <f t="shared" si="419"/>
        <v>14.3</v>
      </c>
      <c r="I874" s="282">
        <f t="shared" si="419"/>
        <v>0</v>
      </c>
      <c r="J874" s="282">
        <f t="shared" si="419"/>
        <v>0</v>
      </c>
      <c r="K874" s="282">
        <f t="shared" si="419"/>
        <v>0</v>
      </c>
      <c r="L874" s="282">
        <f t="shared" si="419"/>
        <v>0</v>
      </c>
      <c r="M874" s="566">
        <f t="shared" si="419"/>
        <v>0</v>
      </c>
      <c r="N874" s="566">
        <f t="shared" si="419"/>
        <v>0</v>
      </c>
      <c r="O874" s="131">
        <f t="shared" si="419"/>
        <v>0</v>
      </c>
      <c r="P874" s="131">
        <f t="shared" si="419"/>
        <v>0</v>
      </c>
      <c r="Q874" s="131">
        <f t="shared" si="419"/>
        <v>0</v>
      </c>
      <c r="R874" s="131">
        <f t="shared" si="419"/>
        <v>0</v>
      </c>
      <c r="S874" s="131">
        <f t="shared" si="409"/>
        <v>14.3</v>
      </c>
    </row>
    <row r="875" spans="1:19" s="77" customFormat="1" ht="31.5" x14ac:dyDescent="0.25">
      <c r="A875" s="267" t="s">
        <v>785</v>
      </c>
      <c r="B875" s="380">
        <v>936</v>
      </c>
      <c r="C875" s="496" t="s">
        <v>28</v>
      </c>
      <c r="D875" s="497" t="s">
        <v>14</v>
      </c>
      <c r="E875" s="285" t="s">
        <v>389</v>
      </c>
      <c r="F875" s="497" t="s">
        <v>9</v>
      </c>
      <c r="G875" s="282">
        <f t="shared" si="419"/>
        <v>0</v>
      </c>
      <c r="H875" s="303">
        <f t="shared" si="419"/>
        <v>14.3</v>
      </c>
      <c r="I875" s="282">
        <f t="shared" si="419"/>
        <v>0</v>
      </c>
      <c r="J875" s="282">
        <f t="shared" si="419"/>
        <v>0</v>
      </c>
      <c r="K875" s="282">
        <f t="shared" si="419"/>
        <v>0</v>
      </c>
      <c r="L875" s="282">
        <f t="shared" si="419"/>
        <v>0</v>
      </c>
      <c r="M875" s="566">
        <f t="shared" si="419"/>
        <v>0</v>
      </c>
      <c r="N875" s="566">
        <f t="shared" si="419"/>
        <v>0</v>
      </c>
      <c r="O875" s="131">
        <f t="shared" si="419"/>
        <v>0</v>
      </c>
      <c r="P875" s="131">
        <f t="shared" si="419"/>
        <v>0</v>
      </c>
      <c r="Q875" s="131">
        <f t="shared" si="419"/>
        <v>0</v>
      </c>
      <c r="R875" s="131">
        <f t="shared" si="419"/>
        <v>0</v>
      </c>
      <c r="S875" s="131">
        <f t="shared" si="409"/>
        <v>14.3</v>
      </c>
    </row>
    <row r="876" spans="1:19" s="77" customFormat="1" x14ac:dyDescent="0.25">
      <c r="A876" s="267" t="s">
        <v>61</v>
      </c>
      <c r="B876" s="380">
        <v>936</v>
      </c>
      <c r="C876" s="496" t="s">
        <v>28</v>
      </c>
      <c r="D876" s="497" t="s">
        <v>14</v>
      </c>
      <c r="E876" s="285" t="s">
        <v>400</v>
      </c>
      <c r="F876" s="497" t="s">
        <v>9</v>
      </c>
      <c r="G876" s="282">
        <f t="shared" si="419"/>
        <v>0</v>
      </c>
      <c r="H876" s="303">
        <f t="shared" si="419"/>
        <v>14.3</v>
      </c>
      <c r="I876" s="282">
        <f t="shared" si="419"/>
        <v>0</v>
      </c>
      <c r="J876" s="282">
        <f t="shared" si="419"/>
        <v>0</v>
      </c>
      <c r="K876" s="282">
        <f t="shared" si="419"/>
        <v>0</v>
      </c>
      <c r="L876" s="282">
        <f t="shared" si="419"/>
        <v>0</v>
      </c>
      <c r="M876" s="566">
        <f t="shared" si="419"/>
        <v>0</v>
      </c>
      <c r="N876" s="566">
        <f t="shared" si="419"/>
        <v>0</v>
      </c>
      <c r="O876" s="131">
        <f t="shared" si="419"/>
        <v>0</v>
      </c>
      <c r="P876" s="131">
        <f t="shared" si="419"/>
        <v>0</v>
      </c>
      <c r="Q876" s="131">
        <f t="shared" si="419"/>
        <v>0</v>
      </c>
      <c r="R876" s="131">
        <f t="shared" si="419"/>
        <v>0</v>
      </c>
      <c r="S876" s="131">
        <f t="shared" si="409"/>
        <v>14.3</v>
      </c>
    </row>
    <row r="877" spans="1:19" s="77" customFormat="1" x14ac:dyDescent="0.25">
      <c r="A877" s="264" t="s">
        <v>126</v>
      </c>
      <c r="B877" s="380">
        <v>936</v>
      </c>
      <c r="C877" s="488" t="s">
        <v>28</v>
      </c>
      <c r="D877" s="380" t="s">
        <v>14</v>
      </c>
      <c r="E877" s="265" t="s">
        <v>400</v>
      </c>
      <c r="F877" s="380" t="s">
        <v>120</v>
      </c>
      <c r="G877" s="282"/>
      <c r="H877" s="303">
        <v>14.3</v>
      </c>
      <c r="I877" s="265"/>
      <c r="J877" s="265"/>
      <c r="K877" s="265"/>
      <c r="L877" s="265"/>
      <c r="M877" s="570"/>
      <c r="N877" s="566"/>
      <c r="O877" s="571"/>
      <c r="P877" s="571"/>
      <c r="Q877" s="571"/>
      <c r="R877" s="571"/>
      <c r="S877" s="566">
        <f t="shared" si="409"/>
        <v>14.3</v>
      </c>
    </row>
    <row r="878" spans="1:19" s="80" customFormat="1" ht="47.25" x14ac:dyDescent="0.25">
      <c r="A878" s="264" t="s">
        <v>100</v>
      </c>
      <c r="B878" s="380" t="s">
        <v>101</v>
      </c>
      <c r="C878" s="488" t="s">
        <v>10</v>
      </c>
      <c r="D878" s="380" t="s">
        <v>10</v>
      </c>
      <c r="E878" s="265" t="s">
        <v>365</v>
      </c>
      <c r="F878" s="380" t="s">
        <v>9</v>
      </c>
      <c r="G878" s="282">
        <f t="shared" ref="G878:R878" si="420">G879</f>
        <v>0</v>
      </c>
      <c r="H878" s="282">
        <f t="shared" si="420"/>
        <v>401.6</v>
      </c>
      <c r="I878" s="282">
        <f t="shared" si="420"/>
        <v>0</v>
      </c>
      <c r="J878" s="282">
        <f t="shared" si="420"/>
        <v>0</v>
      </c>
      <c r="K878" s="282">
        <f t="shared" si="420"/>
        <v>0</v>
      </c>
      <c r="L878" s="282">
        <f t="shared" si="420"/>
        <v>0</v>
      </c>
      <c r="M878" s="566">
        <f t="shared" si="420"/>
        <v>0</v>
      </c>
      <c r="N878" s="566">
        <f t="shared" si="420"/>
        <v>0</v>
      </c>
      <c r="O878" s="567">
        <f t="shared" si="420"/>
        <v>0</v>
      </c>
      <c r="P878" s="567">
        <f t="shared" si="420"/>
        <v>0</v>
      </c>
      <c r="Q878" s="567">
        <f t="shared" si="420"/>
        <v>0</v>
      </c>
      <c r="R878" s="567">
        <f t="shared" si="420"/>
        <v>0</v>
      </c>
      <c r="S878" s="131">
        <f t="shared" si="409"/>
        <v>401.6</v>
      </c>
    </row>
    <row r="879" spans="1:19" s="80" customFormat="1" x14ac:dyDescent="0.25">
      <c r="A879" s="264" t="s">
        <v>23</v>
      </c>
      <c r="B879" s="380" t="s">
        <v>101</v>
      </c>
      <c r="C879" s="488" t="s">
        <v>14</v>
      </c>
      <c r="D879" s="380" t="s">
        <v>10</v>
      </c>
      <c r="E879" s="265" t="s">
        <v>365</v>
      </c>
      <c r="F879" s="380" t="s">
        <v>9</v>
      </c>
      <c r="G879" s="282">
        <f t="shared" ref="G879:R879" si="421">G880+G885</f>
        <v>0</v>
      </c>
      <c r="H879" s="282">
        <f t="shared" si="421"/>
        <v>401.6</v>
      </c>
      <c r="I879" s="282">
        <f t="shared" si="421"/>
        <v>0</v>
      </c>
      <c r="J879" s="282">
        <f t="shared" si="421"/>
        <v>0</v>
      </c>
      <c r="K879" s="282">
        <f t="shared" si="421"/>
        <v>0</v>
      </c>
      <c r="L879" s="282">
        <f t="shared" si="421"/>
        <v>0</v>
      </c>
      <c r="M879" s="566">
        <f t="shared" si="421"/>
        <v>0</v>
      </c>
      <c r="N879" s="566">
        <f t="shared" si="421"/>
        <v>0</v>
      </c>
      <c r="O879" s="567">
        <f t="shared" si="421"/>
        <v>0</v>
      </c>
      <c r="P879" s="567">
        <f t="shared" si="421"/>
        <v>0</v>
      </c>
      <c r="Q879" s="567">
        <f t="shared" si="421"/>
        <v>0</v>
      </c>
      <c r="R879" s="567">
        <f t="shared" si="421"/>
        <v>0</v>
      </c>
      <c r="S879" s="131">
        <f t="shared" si="409"/>
        <v>401.6</v>
      </c>
    </row>
    <row r="880" spans="1:19" s="80" customFormat="1" ht="47.25" x14ac:dyDescent="0.25">
      <c r="A880" s="267" t="s">
        <v>104</v>
      </c>
      <c r="B880" s="497" t="s">
        <v>101</v>
      </c>
      <c r="C880" s="496" t="s">
        <v>14</v>
      </c>
      <c r="D880" s="497" t="s">
        <v>20</v>
      </c>
      <c r="E880" s="285" t="s">
        <v>365</v>
      </c>
      <c r="F880" s="497" t="s">
        <v>9</v>
      </c>
      <c r="G880" s="283">
        <f t="shared" ref="G880:R883" si="422">G881</f>
        <v>0</v>
      </c>
      <c r="H880" s="283">
        <f t="shared" si="422"/>
        <v>401.6</v>
      </c>
      <c r="I880" s="283">
        <f t="shared" si="422"/>
        <v>0</v>
      </c>
      <c r="J880" s="283">
        <f t="shared" si="422"/>
        <v>0</v>
      </c>
      <c r="K880" s="283">
        <f t="shared" si="422"/>
        <v>0</v>
      </c>
      <c r="L880" s="283">
        <f t="shared" si="422"/>
        <v>0</v>
      </c>
      <c r="M880" s="568">
        <f t="shared" si="422"/>
        <v>0</v>
      </c>
      <c r="N880" s="568">
        <f t="shared" si="422"/>
        <v>0</v>
      </c>
      <c r="O880" s="569">
        <f t="shared" si="422"/>
        <v>0</v>
      </c>
      <c r="P880" s="569">
        <f t="shared" si="422"/>
        <v>0</v>
      </c>
      <c r="Q880" s="569">
        <f t="shared" si="422"/>
        <v>0</v>
      </c>
      <c r="R880" s="569">
        <f t="shared" si="422"/>
        <v>0</v>
      </c>
      <c r="S880" s="132">
        <f t="shared" si="409"/>
        <v>401.6</v>
      </c>
    </row>
    <row r="881" spans="1:37" s="77" customFormat="1" x14ac:dyDescent="0.25">
      <c r="A881" s="267" t="s">
        <v>103</v>
      </c>
      <c r="B881" s="497" t="s">
        <v>101</v>
      </c>
      <c r="C881" s="496" t="s">
        <v>14</v>
      </c>
      <c r="D881" s="497" t="s">
        <v>20</v>
      </c>
      <c r="E881" s="285" t="s">
        <v>459</v>
      </c>
      <c r="F881" s="497" t="s">
        <v>9</v>
      </c>
      <c r="G881" s="283">
        <f t="shared" si="422"/>
        <v>0</v>
      </c>
      <c r="H881" s="283">
        <f t="shared" si="422"/>
        <v>401.6</v>
      </c>
      <c r="I881" s="283">
        <f t="shared" si="422"/>
        <v>0</v>
      </c>
      <c r="J881" s="283">
        <f t="shared" si="422"/>
        <v>0</v>
      </c>
      <c r="K881" s="283">
        <f t="shared" si="422"/>
        <v>0</v>
      </c>
      <c r="L881" s="283">
        <f t="shared" si="422"/>
        <v>0</v>
      </c>
      <c r="M881" s="568">
        <f t="shared" si="422"/>
        <v>0</v>
      </c>
      <c r="N881" s="568">
        <f t="shared" si="422"/>
        <v>0</v>
      </c>
      <c r="O881" s="569">
        <f t="shared" si="422"/>
        <v>0</v>
      </c>
      <c r="P881" s="569">
        <f t="shared" si="422"/>
        <v>0</v>
      </c>
      <c r="Q881" s="569">
        <f t="shared" si="422"/>
        <v>0</v>
      </c>
      <c r="R881" s="569">
        <f t="shared" si="422"/>
        <v>0</v>
      </c>
      <c r="S881" s="132">
        <f t="shared" si="409"/>
        <v>401.6</v>
      </c>
    </row>
    <row r="882" spans="1:37" s="77" customFormat="1" ht="31.5" x14ac:dyDescent="0.25">
      <c r="A882" s="267" t="s">
        <v>796</v>
      </c>
      <c r="B882" s="497" t="s">
        <v>101</v>
      </c>
      <c r="C882" s="496" t="s">
        <v>14</v>
      </c>
      <c r="D882" s="497" t="s">
        <v>20</v>
      </c>
      <c r="E882" s="285" t="s">
        <v>791</v>
      </c>
      <c r="F882" s="497" t="s">
        <v>9</v>
      </c>
      <c r="G882" s="283">
        <f t="shared" si="422"/>
        <v>0</v>
      </c>
      <c r="H882" s="283">
        <f t="shared" si="422"/>
        <v>401.6</v>
      </c>
      <c r="I882" s="283">
        <f t="shared" si="422"/>
        <v>0</v>
      </c>
      <c r="J882" s="283">
        <f t="shared" si="422"/>
        <v>0</v>
      </c>
      <c r="K882" s="283">
        <f t="shared" si="422"/>
        <v>0</v>
      </c>
      <c r="L882" s="283">
        <f t="shared" si="422"/>
        <v>0</v>
      </c>
      <c r="M882" s="568">
        <f t="shared" si="422"/>
        <v>0</v>
      </c>
      <c r="N882" s="568">
        <f t="shared" si="422"/>
        <v>0</v>
      </c>
      <c r="O882" s="569">
        <f t="shared" si="422"/>
        <v>0</v>
      </c>
      <c r="P882" s="569">
        <f t="shared" si="422"/>
        <v>0</v>
      </c>
      <c r="Q882" s="569">
        <f t="shared" si="422"/>
        <v>0</v>
      </c>
      <c r="R882" s="569">
        <f t="shared" si="422"/>
        <v>0</v>
      </c>
      <c r="S882" s="132">
        <f t="shared" si="409"/>
        <v>401.6</v>
      </c>
    </row>
    <row r="883" spans="1:37" s="80" customFormat="1" x14ac:dyDescent="0.25">
      <c r="A883" s="267" t="s">
        <v>105</v>
      </c>
      <c r="B883" s="497" t="s">
        <v>101</v>
      </c>
      <c r="C883" s="496" t="s">
        <v>14</v>
      </c>
      <c r="D883" s="497" t="s">
        <v>20</v>
      </c>
      <c r="E883" s="285" t="s">
        <v>795</v>
      </c>
      <c r="F883" s="497" t="s">
        <v>9</v>
      </c>
      <c r="G883" s="283">
        <f t="shared" si="422"/>
        <v>0</v>
      </c>
      <c r="H883" s="283">
        <f t="shared" si="422"/>
        <v>401.6</v>
      </c>
      <c r="I883" s="283">
        <f t="shared" si="422"/>
        <v>0</v>
      </c>
      <c r="J883" s="283">
        <f t="shared" si="422"/>
        <v>0</v>
      </c>
      <c r="K883" s="283">
        <f t="shared" si="422"/>
        <v>0</v>
      </c>
      <c r="L883" s="283">
        <f t="shared" si="422"/>
        <v>0</v>
      </c>
      <c r="M883" s="568">
        <f t="shared" si="422"/>
        <v>0</v>
      </c>
      <c r="N883" s="568">
        <f t="shared" si="422"/>
        <v>0</v>
      </c>
      <c r="O883" s="569">
        <f t="shared" si="422"/>
        <v>0</v>
      </c>
      <c r="P883" s="569">
        <f t="shared" si="422"/>
        <v>0</v>
      </c>
      <c r="Q883" s="569">
        <f t="shared" si="422"/>
        <v>0</v>
      </c>
      <c r="R883" s="569">
        <f t="shared" si="422"/>
        <v>0</v>
      </c>
      <c r="S883" s="132">
        <f t="shared" si="409"/>
        <v>401.6</v>
      </c>
    </row>
    <row r="884" spans="1:37" s="77" customFormat="1" ht="63" x14ac:dyDescent="0.25">
      <c r="A884" s="264" t="s">
        <v>115</v>
      </c>
      <c r="B884" s="380" t="s">
        <v>101</v>
      </c>
      <c r="C884" s="488" t="s">
        <v>14</v>
      </c>
      <c r="D884" s="380" t="s">
        <v>20</v>
      </c>
      <c r="E884" s="265" t="s">
        <v>795</v>
      </c>
      <c r="F884" s="380" t="s">
        <v>113</v>
      </c>
      <c r="G884" s="282"/>
      <c r="H884" s="303">
        <v>401.6</v>
      </c>
      <c r="I884" s="265"/>
      <c r="J884" s="265"/>
      <c r="K884" s="265"/>
      <c r="L884" s="265"/>
      <c r="M884" s="570"/>
      <c r="N884" s="570"/>
      <c r="O884" s="571"/>
      <c r="P884" s="571"/>
      <c r="Q884" s="571"/>
      <c r="R884" s="571"/>
      <c r="S884" s="566">
        <f t="shared" si="409"/>
        <v>401.6</v>
      </c>
    </row>
    <row r="885" spans="1:37" s="77" customFormat="1" ht="15.6" hidden="1" x14ac:dyDescent="0.3">
      <c r="A885" s="267" t="s">
        <v>27</v>
      </c>
      <c r="B885" s="497" t="s">
        <v>101</v>
      </c>
      <c r="C885" s="496" t="s">
        <v>14</v>
      </c>
      <c r="D885" s="497" t="s">
        <v>28</v>
      </c>
      <c r="E885" s="285" t="s">
        <v>365</v>
      </c>
      <c r="F885" s="497" t="s">
        <v>9</v>
      </c>
      <c r="G885" s="283">
        <f t="shared" ref="G885:R887" si="423">G886</f>
        <v>0</v>
      </c>
      <c r="H885" s="283">
        <f t="shared" si="423"/>
        <v>0</v>
      </c>
      <c r="I885" s="283">
        <f t="shared" si="423"/>
        <v>0</v>
      </c>
      <c r="J885" s="283">
        <f t="shared" si="423"/>
        <v>0</v>
      </c>
      <c r="K885" s="283">
        <f t="shared" si="423"/>
        <v>0</v>
      </c>
      <c r="L885" s="283">
        <f t="shared" si="423"/>
        <v>0</v>
      </c>
      <c r="M885" s="568">
        <f t="shared" si="423"/>
        <v>0</v>
      </c>
      <c r="N885" s="568">
        <f t="shared" si="423"/>
        <v>0</v>
      </c>
      <c r="O885" s="569">
        <f t="shared" si="423"/>
        <v>0</v>
      </c>
      <c r="P885" s="569">
        <f t="shared" si="423"/>
        <v>0</v>
      </c>
      <c r="Q885" s="569">
        <f t="shared" si="423"/>
        <v>0</v>
      </c>
      <c r="R885" s="569">
        <f t="shared" si="423"/>
        <v>0</v>
      </c>
      <c r="S885" s="132">
        <f t="shared" si="409"/>
        <v>0</v>
      </c>
    </row>
    <row r="886" spans="1:37" s="80" customFormat="1" ht="15.6" hidden="1" x14ac:dyDescent="0.3">
      <c r="A886" s="267" t="s">
        <v>103</v>
      </c>
      <c r="B886" s="497" t="s">
        <v>101</v>
      </c>
      <c r="C886" s="496" t="s">
        <v>14</v>
      </c>
      <c r="D886" s="497" t="s">
        <v>28</v>
      </c>
      <c r="E886" s="285" t="s">
        <v>459</v>
      </c>
      <c r="F886" s="497" t="s">
        <v>9</v>
      </c>
      <c r="G886" s="283">
        <f t="shared" si="423"/>
        <v>0</v>
      </c>
      <c r="H886" s="283">
        <f t="shared" si="423"/>
        <v>0</v>
      </c>
      <c r="I886" s="283">
        <f t="shared" si="423"/>
        <v>0</v>
      </c>
      <c r="J886" s="283">
        <f t="shared" si="423"/>
        <v>0</v>
      </c>
      <c r="K886" s="283">
        <f t="shared" si="423"/>
        <v>0</v>
      </c>
      <c r="L886" s="283">
        <f t="shared" si="423"/>
        <v>0</v>
      </c>
      <c r="M886" s="568">
        <f t="shared" si="423"/>
        <v>0</v>
      </c>
      <c r="N886" s="568">
        <f t="shared" si="423"/>
        <v>0</v>
      </c>
      <c r="O886" s="569">
        <f t="shared" si="423"/>
        <v>0</v>
      </c>
      <c r="P886" s="569">
        <f t="shared" si="423"/>
        <v>0</v>
      </c>
      <c r="Q886" s="569">
        <f t="shared" si="423"/>
        <v>0</v>
      </c>
      <c r="R886" s="569">
        <f t="shared" si="423"/>
        <v>0</v>
      </c>
      <c r="S886" s="132">
        <f t="shared" si="409"/>
        <v>0</v>
      </c>
    </row>
    <row r="887" spans="1:37" s="80" customFormat="1" ht="15.6" hidden="1" x14ac:dyDescent="0.3">
      <c r="A887" s="267" t="s">
        <v>79</v>
      </c>
      <c r="B887" s="497" t="s">
        <v>101</v>
      </c>
      <c r="C887" s="496" t="s">
        <v>14</v>
      </c>
      <c r="D887" s="497" t="s">
        <v>28</v>
      </c>
      <c r="E887" s="285" t="s">
        <v>460</v>
      </c>
      <c r="F887" s="497" t="s">
        <v>9</v>
      </c>
      <c r="G887" s="283">
        <f t="shared" si="423"/>
        <v>0</v>
      </c>
      <c r="H887" s="283">
        <f t="shared" si="423"/>
        <v>0</v>
      </c>
      <c r="I887" s="283">
        <f t="shared" si="423"/>
        <v>0</v>
      </c>
      <c r="J887" s="283">
        <f t="shared" si="423"/>
        <v>0</v>
      </c>
      <c r="K887" s="283">
        <f t="shared" si="423"/>
        <v>0</v>
      </c>
      <c r="L887" s="283">
        <f t="shared" si="423"/>
        <v>0</v>
      </c>
      <c r="M887" s="568">
        <f t="shared" si="423"/>
        <v>0</v>
      </c>
      <c r="N887" s="568">
        <f t="shared" si="423"/>
        <v>0</v>
      </c>
      <c r="O887" s="569">
        <f t="shared" si="423"/>
        <v>0</v>
      </c>
      <c r="P887" s="569">
        <f t="shared" si="423"/>
        <v>0</v>
      </c>
      <c r="Q887" s="569">
        <f t="shared" si="423"/>
        <v>0</v>
      </c>
      <c r="R887" s="569">
        <f t="shared" si="423"/>
        <v>0</v>
      </c>
      <c r="S887" s="132">
        <f t="shared" si="409"/>
        <v>0</v>
      </c>
    </row>
    <row r="888" spans="1:37" s="80" customFormat="1" ht="31.15" hidden="1" x14ac:dyDescent="0.3">
      <c r="A888" s="264" t="s">
        <v>124</v>
      </c>
      <c r="B888" s="380" t="s">
        <v>101</v>
      </c>
      <c r="C888" s="488" t="s">
        <v>14</v>
      </c>
      <c r="D888" s="380" t="s">
        <v>28</v>
      </c>
      <c r="E888" s="265" t="s">
        <v>460</v>
      </c>
      <c r="F888" s="380" t="s">
        <v>117</v>
      </c>
      <c r="G888" s="282"/>
      <c r="H888" s="282"/>
      <c r="I888" s="265"/>
      <c r="J888" s="265"/>
      <c r="K888" s="265"/>
      <c r="L888" s="265"/>
      <c r="M888" s="570"/>
      <c r="N888" s="570"/>
      <c r="O888" s="571"/>
      <c r="P888" s="571"/>
      <c r="Q888" s="571"/>
      <c r="R888" s="571"/>
      <c r="S888" s="131">
        <f t="shared" si="409"/>
        <v>0</v>
      </c>
    </row>
    <row r="889" spans="1:37" s="77" customFormat="1" ht="47.25" x14ac:dyDescent="0.25">
      <c r="A889" s="264" t="s">
        <v>106</v>
      </c>
      <c r="B889" s="380" t="s">
        <v>107</v>
      </c>
      <c r="C889" s="488" t="s">
        <v>10</v>
      </c>
      <c r="D889" s="380" t="s">
        <v>10</v>
      </c>
      <c r="E889" s="265" t="s">
        <v>365</v>
      </c>
      <c r="F889" s="380" t="s">
        <v>9</v>
      </c>
      <c r="G889" s="282">
        <f t="shared" ref="G889:R889" si="424">G890</f>
        <v>0</v>
      </c>
      <c r="H889" s="282">
        <f t="shared" si="424"/>
        <v>1396.3</v>
      </c>
      <c r="I889" s="282">
        <f t="shared" si="424"/>
        <v>0</v>
      </c>
      <c r="J889" s="282">
        <f t="shared" si="424"/>
        <v>0</v>
      </c>
      <c r="K889" s="282">
        <f t="shared" si="424"/>
        <v>0</v>
      </c>
      <c r="L889" s="282">
        <f t="shared" si="424"/>
        <v>36</v>
      </c>
      <c r="M889" s="566">
        <f t="shared" si="424"/>
        <v>0</v>
      </c>
      <c r="N889" s="566">
        <f t="shared" si="424"/>
        <v>0</v>
      </c>
      <c r="O889" s="567">
        <f t="shared" si="424"/>
        <v>0</v>
      </c>
      <c r="P889" s="567">
        <f t="shared" si="424"/>
        <v>0</v>
      </c>
      <c r="Q889" s="567">
        <f t="shared" si="424"/>
        <v>0</v>
      </c>
      <c r="R889" s="567">
        <f t="shared" si="424"/>
        <v>0</v>
      </c>
      <c r="S889" s="131">
        <f t="shared" si="409"/>
        <v>1432.3</v>
      </c>
    </row>
    <row r="890" spans="1:37" s="77" customFormat="1" x14ac:dyDescent="0.25">
      <c r="A890" s="264" t="s">
        <v>23</v>
      </c>
      <c r="B890" s="380" t="s">
        <v>107</v>
      </c>
      <c r="C890" s="488" t="s">
        <v>14</v>
      </c>
      <c r="D890" s="380" t="s">
        <v>10</v>
      </c>
      <c r="E890" s="265" t="s">
        <v>365</v>
      </c>
      <c r="F890" s="380" t="s">
        <v>9</v>
      </c>
      <c r="G890" s="282">
        <f t="shared" ref="G890:R890" si="425">G891+G900</f>
        <v>0</v>
      </c>
      <c r="H890" s="282">
        <f t="shared" si="425"/>
        <v>1396.3</v>
      </c>
      <c r="I890" s="282">
        <f t="shared" si="425"/>
        <v>0</v>
      </c>
      <c r="J890" s="282">
        <f t="shared" si="425"/>
        <v>0</v>
      </c>
      <c r="K890" s="282">
        <f t="shared" si="425"/>
        <v>0</v>
      </c>
      <c r="L890" s="282">
        <f t="shared" si="425"/>
        <v>36</v>
      </c>
      <c r="M890" s="566">
        <f t="shared" si="425"/>
        <v>0</v>
      </c>
      <c r="N890" s="566">
        <f t="shared" si="425"/>
        <v>0</v>
      </c>
      <c r="O890" s="567">
        <f t="shared" si="425"/>
        <v>0</v>
      </c>
      <c r="P890" s="567">
        <f t="shared" si="425"/>
        <v>0</v>
      </c>
      <c r="Q890" s="567">
        <f t="shared" si="425"/>
        <v>0</v>
      </c>
      <c r="R890" s="567">
        <f t="shared" si="425"/>
        <v>0</v>
      </c>
      <c r="S890" s="131">
        <f t="shared" si="409"/>
        <v>1432.3</v>
      </c>
    </row>
    <row r="891" spans="1:37" ht="31.5" x14ac:dyDescent="0.25">
      <c r="A891" s="267" t="s">
        <v>108</v>
      </c>
      <c r="B891" s="497" t="s">
        <v>107</v>
      </c>
      <c r="C891" s="496" t="s">
        <v>14</v>
      </c>
      <c r="D891" s="497" t="s">
        <v>90</v>
      </c>
      <c r="E891" s="285" t="s">
        <v>365</v>
      </c>
      <c r="F891" s="497" t="s">
        <v>9</v>
      </c>
      <c r="G891" s="283">
        <f t="shared" ref="G891:R892" si="426">G892</f>
        <v>0</v>
      </c>
      <c r="H891" s="283">
        <f t="shared" si="426"/>
        <v>1391.3</v>
      </c>
      <c r="I891" s="283">
        <f t="shared" si="426"/>
        <v>0</v>
      </c>
      <c r="J891" s="283">
        <f t="shared" si="426"/>
        <v>0</v>
      </c>
      <c r="K891" s="283">
        <f t="shared" si="426"/>
        <v>0</v>
      </c>
      <c r="L891" s="283">
        <f t="shared" si="426"/>
        <v>36</v>
      </c>
      <c r="M891" s="568">
        <f t="shared" si="426"/>
        <v>0</v>
      </c>
      <c r="N891" s="568">
        <f t="shared" si="426"/>
        <v>0</v>
      </c>
      <c r="O891" s="569">
        <f t="shared" si="426"/>
        <v>0</v>
      </c>
      <c r="P891" s="569">
        <f t="shared" si="426"/>
        <v>0</v>
      </c>
      <c r="Q891" s="569">
        <f t="shared" si="426"/>
        <v>0</v>
      </c>
      <c r="R891" s="569">
        <f t="shared" si="426"/>
        <v>0</v>
      </c>
      <c r="S891" s="132">
        <f t="shared" si="409"/>
        <v>1427.3</v>
      </c>
      <c r="T891" s="8"/>
      <c r="U891" s="8"/>
      <c r="AK891" s="8"/>
    </row>
    <row r="892" spans="1:37" x14ac:dyDescent="0.25">
      <c r="A892" s="267" t="s">
        <v>103</v>
      </c>
      <c r="B892" s="497" t="s">
        <v>107</v>
      </c>
      <c r="C892" s="496" t="s">
        <v>14</v>
      </c>
      <c r="D892" s="497" t="s">
        <v>90</v>
      </c>
      <c r="E892" s="285" t="s">
        <v>459</v>
      </c>
      <c r="F892" s="497" t="s">
        <v>9</v>
      </c>
      <c r="G892" s="283">
        <f t="shared" si="426"/>
        <v>0</v>
      </c>
      <c r="H892" s="283">
        <f t="shared" si="426"/>
        <v>1391.3</v>
      </c>
      <c r="I892" s="283">
        <f t="shared" si="426"/>
        <v>0</v>
      </c>
      <c r="J892" s="283">
        <f t="shared" si="426"/>
        <v>0</v>
      </c>
      <c r="K892" s="283">
        <f t="shared" si="426"/>
        <v>0</v>
      </c>
      <c r="L892" s="283">
        <f t="shared" si="426"/>
        <v>36</v>
      </c>
      <c r="M892" s="568">
        <f t="shared" si="426"/>
        <v>0</v>
      </c>
      <c r="N892" s="568">
        <f t="shared" si="426"/>
        <v>0</v>
      </c>
      <c r="O892" s="569">
        <f t="shared" si="426"/>
        <v>0</v>
      </c>
      <c r="P892" s="569">
        <f t="shared" si="426"/>
        <v>0</v>
      </c>
      <c r="Q892" s="569">
        <f t="shared" si="426"/>
        <v>0</v>
      </c>
      <c r="R892" s="569">
        <f t="shared" si="426"/>
        <v>0</v>
      </c>
      <c r="S892" s="132">
        <f t="shared" si="409"/>
        <v>1427.3</v>
      </c>
      <c r="T892" s="8"/>
      <c r="U892" s="8"/>
      <c r="AK892" s="8"/>
    </row>
    <row r="893" spans="1:37" ht="31.5" x14ac:dyDescent="0.25">
      <c r="A893" s="267" t="s">
        <v>796</v>
      </c>
      <c r="B893" s="497" t="s">
        <v>107</v>
      </c>
      <c r="C893" s="496" t="s">
        <v>14</v>
      </c>
      <c r="D893" s="497" t="s">
        <v>90</v>
      </c>
      <c r="E893" s="285" t="s">
        <v>791</v>
      </c>
      <c r="F893" s="497" t="s">
        <v>9</v>
      </c>
      <c r="G893" s="283">
        <f t="shared" ref="G893:R893" si="427">G894+G897</f>
        <v>0</v>
      </c>
      <c r="H893" s="283">
        <f t="shared" si="427"/>
        <v>1391.3</v>
      </c>
      <c r="I893" s="283">
        <f t="shared" si="427"/>
        <v>0</v>
      </c>
      <c r="J893" s="283">
        <f t="shared" si="427"/>
        <v>0</v>
      </c>
      <c r="K893" s="283">
        <f t="shared" si="427"/>
        <v>0</v>
      </c>
      <c r="L893" s="283">
        <f t="shared" si="427"/>
        <v>36</v>
      </c>
      <c r="M893" s="568">
        <f t="shared" si="427"/>
        <v>0</v>
      </c>
      <c r="N893" s="568">
        <f t="shared" si="427"/>
        <v>0</v>
      </c>
      <c r="O893" s="569">
        <f t="shared" si="427"/>
        <v>0</v>
      </c>
      <c r="P893" s="569">
        <f t="shared" si="427"/>
        <v>0</v>
      </c>
      <c r="Q893" s="569">
        <f t="shared" si="427"/>
        <v>0</v>
      </c>
      <c r="R893" s="569">
        <f t="shared" si="427"/>
        <v>0</v>
      </c>
      <c r="S893" s="132">
        <f t="shared" si="409"/>
        <v>1427.3</v>
      </c>
      <c r="U893" s="8"/>
      <c r="AK893" s="8"/>
    </row>
    <row r="894" spans="1:37" ht="31.5" x14ac:dyDescent="0.25">
      <c r="A894" s="267" t="s">
        <v>109</v>
      </c>
      <c r="B894" s="497" t="s">
        <v>107</v>
      </c>
      <c r="C894" s="496" t="s">
        <v>14</v>
      </c>
      <c r="D894" s="497" t="s">
        <v>90</v>
      </c>
      <c r="E894" s="285" t="s">
        <v>792</v>
      </c>
      <c r="F894" s="497" t="s">
        <v>9</v>
      </c>
      <c r="G894" s="283">
        <f>G895+G896</f>
        <v>0</v>
      </c>
      <c r="H894" s="283">
        <f t="shared" ref="H894:R894" si="428">H895+H896</f>
        <v>922.3</v>
      </c>
      <c r="I894" s="283">
        <f t="shared" si="428"/>
        <v>0</v>
      </c>
      <c r="J894" s="283">
        <f t="shared" si="428"/>
        <v>0</v>
      </c>
      <c r="K894" s="283">
        <f t="shared" si="428"/>
        <v>0</v>
      </c>
      <c r="L894" s="283">
        <f t="shared" si="428"/>
        <v>36</v>
      </c>
      <c r="M894" s="568">
        <f t="shared" si="428"/>
        <v>0</v>
      </c>
      <c r="N894" s="568">
        <f t="shared" si="428"/>
        <v>0</v>
      </c>
      <c r="O894" s="132">
        <f t="shared" si="428"/>
        <v>0</v>
      </c>
      <c r="P894" s="132">
        <f t="shared" si="428"/>
        <v>0</v>
      </c>
      <c r="Q894" s="132">
        <f t="shared" si="428"/>
        <v>0</v>
      </c>
      <c r="R894" s="132">
        <f t="shared" si="428"/>
        <v>0</v>
      </c>
      <c r="S894" s="132">
        <f t="shared" si="409"/>
        <v>958.3</v>
      </c>
      <c r="U894" s="8"/>
      <c r="AK894" s="8"/>
    </row>
    <row r="895" spans="1:37" ht="63" x14ac:dyDescent="0.25">
      <c r="A895" s="264" t="s">
        <v>115</v>
      </c>
      <c r="B895" s="380" t="s">
        <v>107</v>
      </c>
      <c r="C895" s="488" t="s">
        <v>14</v>
      </c>
      <c r="D895" s="380" t="s">
        <v>90</v>
      </c>
      <c r="E895" s="265" t="s">
        <v>792</v>
      </c>
      <c r="F895" s="380" t="s">
        <v>113</v>
      </c>
      <c r="G895" s="282"/>
      <c r="H895" s="303">
        <f>913.5+8.8</f>
        <v>922.3</v>
      </c>
      <c r="I895" s="265"/>
      <c r="J895" s="265"/>
      <c r="K895" s="265"/>
      <c r="L895" s="265">
        <v>26</v>
      </c>
      <c r="M895" s="570"/>
      <c r="N895" s="570"/>
      <c r="O895" s="571"/>
      <c r="P895" s="571"/>
      <c r="Q895" s="571"/>
      <c r="R895" s="571"/>
      <c r="S895" s="566">
        <f t="shared" si="409"/>
        <v>948.3</v>
      </c>
      <c r="T895" s="69"/>
      <c r="U895" s="8"/>
      <c r="AK895" s="8"/>
    </row>
    <row r="896" spans="1:37" ht="31.5" x14ac:dyDescent="0.25">
      <c r="A896" s="264" t="s">
        <v>124</v>
      </c>
      <c r="B896" s="380" t="s">
        <v>107</v>
      </c>
      <c r="C896" s="488" t="s">
        <v>14</v>
      </c>
      <c r="D896" s="380" t="s">
        <v>90</v>
      </c>
      <c r="E896" s="265" t="s">
        <v>792</v>
      </c>
      <c r="F896" s="380" t="s">
        <v>117</v>
      </c>
      <c r="G896" s="282"/>
      <c r="H896" s="303"/>
      <c r="I896" s="265"/>
      <c r="J896" s="265"/>
      <c r="K896" s="265"/>
      <c r="L896" s="265">
        <v>10</v>
      </c>
      <c r="M896" s="570"/>
      <c r="N896" s="570"/>
      <c r="O896" s="571"/>
      <c r="P896" s="571"/>
      <c r="Q896" s="571"/>
      <c r="R896" s="571"/>
      <c r="S896" s="566">
        <f t="shared" si="409"/>
        <v>10</v>
      </c>
      <c r="T896" s="482"/>
      <c r="U896" s="8"/>
      <c r="AK896" s="8"/>
    </row>
    <row r="897" spans="1:37" x14ac:dyDescent="0.25">
      <c r="A897" s="267" t="s">
        <v>26</v>
      </c>
      <c r="B897" s="497" t="s">
        <v>107</v>
      </c>
      <c r="C897" s="496" t="s">
        <v>14</v>
      </c>
      <c r="D897" s="497" t="s">
        <v>90</v>
      </c>
      <c r="E897" s="285" t="s">
        <v>793</v>
      </c>
      <c r="F897" s="497" t="s">
        <v>9</v>
      </c>
      <c r="G897" s="283">
        <f t="shared" ref="G897:R897" si="429">G898+G899</f>
        <v>0</v>
      </c>
      <c r="H897" s="283">
        <f t="shared" si="429"/>
        <v>469</v>
      </c>
      <c r="I897" s="283">
        <f t="shared" si="429"/>
        <v>0</v>
      </c>
      <c r="J897" s="283">
        <f t="shared" si="429"/>
        <v>0</v>
      </c>
      <c r="K897" s="283">
        <f t="shared" si="429"/>
        <v>0</v>
      </c>
      <c r="L897" s="283">
        <f t="shared" si="429"/>
        <v>0</v>
      </c>
      <c r="M897" s="568">
        <f t="shared" si="429"/>
        <v>0</v>
      </c>
      <c r="N897" s="568">
        <f t="shared" si="429"/>
        <v>0</v>
      </c>
      <c r="O897" s="569">
        <f t="shared" si="429"/>
        <v>0</v>
      </c>
      <c r="P897" s="569">
        <f t="shared" si="429"/>
        <v>0</v>
      </c>
      <c r="Q897" s="569">
        <f t="shared" si="429"/>
        <v>0</v>
      </c>
      <c r="R897" s="569">
        <f t="shared" si="429"/>
        <v>0</v>
      </c>
      <c r="S897" s="132">
        <f t="shared" si="409"/>
        <v>469</v>
      </c>
      <c r="T897" s="8"/>
      <c r="U897" s="8"/>
      <c r="AK897" s="8"/>
    </row>
    <row r="898" spans="1:37" ht="63" x14ac:dyDescent="0.25">
      <c r="A898" s="264" t="s">
        <v>115</v>
      </c>
      <c r="B898" s="380" t="s">
        <v>107</v>
      </c>
      <c r="C898" s="488" t="s">
        <v>14</v>
      </c>
      <c r="D898" s="380" t="s">
        <v>90</v>
      </c>
      <c r="E898" s="265" t="s">
        <v>793</v>
      </c>
      <c r="F898" s="380" t="s">
        <v>113</v>
      </c>
      <c r="G898" s="282"/>
      <c r="H898" s="303">
        <f>466+3</f>
        <v>469</v>
      </c>
      <c r="I898" s="265"/>
      <c r="J898" s="265"/>
      <c r="K898" s="265"/>
      <c r="L898" s="265"/>
      <c r="M898" s="570"/>
      <c r="N898" s="570"/>
      <c r="O898" s="571"/>
      <c r="P898" s="571"/>
      <c r="Q898" s="571"/>
      <c r="R898" s="571"/>
      <c r="S898" s="566">
        <f t="shared" si="409"/>
        <v>469</v>
      </c>
      <c r="U898" s="8"/>
      <c r="AK898" s="8"/>
    </row>
    <row r="899" spans="1:37" ht="31.15" hidden="1" x14ac:dyDescent="0.3">
      <c r="A899" s="264" t="s">
        <v>124</v>
      </c>
      <c r="B899" s="380" t="s">
        <v>107</v>
      </c>
      <c r="C899" s="488" t="s">
        <v>14</v>
      </c>
      <c r="D899" s="380" t="s">
        <v>90</v>
      </c>
      <c r="E899" s="265" t="s">
        <v>793</v>
      </c>
      <c r="F899" s="380" t="s">
        <v>117</v>
      </c>
      <c r="G899" s="282"/>
      <c r="H899" s="303"/>
      <c r="I899" s="265"/>
      <c r="J899" s="265"/>
      <c r="K899" s="265"/>
      <c r="L899" s="265"/>
      <c r="M899" s="570"/>
      <c r="N899" s="570"/>
      <c r="O899" s="571"/>
      <c r="P899" s="571"/>
      <c r="Q899" s="571"/>
      <c r="R899" s="571"/>
      <c r="S899" s="131">
        <f t="shared" si="409"/>
        <v>0</v>
      </c>
      <c r="U899" s="8"/>
      <c r="AH899" s="58"/>
      <c r="AK899" s="8"/>
    </row>
    <row r="900" spans="1:37" x14ac:dyDescent="0.25">
      <c r="A900" s="267" t="s">
        <v>27</v>
      </c>
      <c r="B900" s="497" t="s">
        <v>107</v>
      </c>
      <c r="C900" s="496" t="s">
        <v>14</v>
      </c>
      <c r="D900" s="497" t="s">
        <v>28</v>
      </c>
      <c r="E900" s="285" t="s">
        <v>365</v>
      </c>
      <c r="F900" s="497" t="s">
        <v>9</v>
      </c>
      <c r="G900" s="283">
        <f t="shared" ref="G900:R903" si="430">G901</f>
        <v>0</v>
      </c>
      <c r="H900" s="283">
        <f t="shared" si="430"/>
        <v>5</v>
      </c>
      <c r="I900" s="283">
        <f t="shared" si="430"/>
        <v>0</v>
      </c>
      <c r="J900" s="283">
        <f t="shared" si="430"/>
        <v>0</v>
      </c>
      <c r="K900" s="283">
        <f t="shared" si="430"/>
        <v>0</v>
      </c>
      <c r="L900" s="283">
        <f t="shared" si="430"/>
        <v>0</v>
      </c>
      <c r="M900" s="568">
        <f t="shared" si="430"/>
        <v>0</v>
      </c>
      <c r="N900" s="568">
        <f t="shared" si="430"/>
        <v>0</v>
      </c>
      <c r="O900" s="569">
        <f t="shared" si="430"/>
        <v>0</v>
      </c>
      <c r="P900" s="569">
        <f t="shared" si="430"/>
        <v>0</v>
      </c>
      <c r="Q900" s="569">
        <f t="shared" si="430"/>
        <v>0</v>
      </c>
      <c r="R900" s="569">
        <f t="shared" si="430"/>
        <v>0</v>
      </c>
      <c r="S900" s="132">
        <f t="shared" si="409"/>
        <v>5</v>
      </c>
      <c r="U900" s="8"/>
      <c r="AH900" s="58"/>
      <c r="AK900" s="8"/>
    </row>
    <row r="901" spans="1:37" x14ac:dyDescent="0.25">
      <c r="A901" s="267" t="s">
        <v>103</v>
      </c>
      <c r="B901" s="497" t="s">
        <v>107</v>
      </c>
      <c r="C901" s="496" t="s">
        <v>14</v>
      </c>
      <c r="D901" s="497" t="s">
        <v>28</v>
      </c>
      <c r="E901" s="285" t="s">
        <v>459</v>
      </c>
      <c r="F901" s="497" t="s">
        <v>9</v>
      </c>
      <c r="G901" s="283">
        <f t="shared" si="430"/>
        <v>0</v>
      </c>
      <c r="H901" s="283">
        <f t="shared" si="430"/>
        <v>5</v>
      </c>
      <c r="I901" s="283">
        <f t="shared" si="430"/>
        <v>0</v>
      </c>
      <c r="J901" s="283">
        <f t="shared" si="430"/>
        <v>0</v>
      </c>
      <c r="K901" s="283">
        <f t="shared" si="430"/>
        <v>0</v>
      </c>
      <c r="L901" s="283">
        <f t="shared" si="430"/>
        <v>0</v>
      </c>
      <c r="M901" s="568">
        <f t="shared" si="430"/>
        <v>0</v>
      </c>
      <c r="N901" s="568">
        <f t="shared" si="430"/>
        <v>0</v>
      </c>
      <c r="O901" s="569">
        <f t="shared" si="430"/>
        <v>0</v>
      </c>
      <c r="P901" s="569">
        <f t="shared" si="430"/>
        <v>0</v>
      </c>
      <c r="Q901" s="569">
        <f t="shared" si="430"/>
        <v>0</v>
      </c>
      <c r="R901" s="569">
        <f t="shared" si="430"/>
        <v>0</v>
      </c>
      <c r="S901" s="132">
        <f t="shared" si="409"/>
        <v>5</v>
      </c>
      <c r="U901" s="8"/>
      <c r="AH901" s="58"/>
      <c r="AK901" s="8"/>
    </row>
    <row r="902" spans="1:37" ht="31.5" x14ac:dyDescent="0.25">
      <c r="A902" s="267" t="s">
        <v>796</v>
      </c>
      <c r="B902" s="497" t="s">
        <v>107</v>
      </c>
      <c r="C902" s="496" t="s">
        <v>14</v>
      </c>
      <c r="D902" s="497" t="s">
        <v>28</v>
      </c>
      <c r="E902" s="285" t="s">
        <v>791</v>
      </c>
      <c r="F902" s="497" t="s">
        <v>9</v>
      </c>
      <c r="G902" s="283">
        <f t="shared" si="430"/>
        <v>0</v>
      </c>
      <c r="H902" s="283">
        <f t="shared" si="430"/>
        <v>5</v>
      </c>
      <c r="I902" s="283">
        <f t="shared" si="430"/>
        <v>0</v>
      </c>
      <c r="J902" s="283">
        <f t="shared" si="430"/>
        <v>0</v>
      </c>
      <c r="K902" s="283">
        <f t="shared" si="430"/>
        <v>0</v>
      </c>
      <c r="L902" s="283">
        <f t="shared" si="430"/>
        <v>0</v>
      </c>
      <c r="M902" s="568">
        <f t="shared" si="430"/>
        <v>0</v>
      </c>
      <c r="N902" s="568">
        <f t="shared" si="430"/>
        <v>0</v>
      </c>
      <c r="O902" s="569">
        <f t="shared" si="430"/>
        <v>0</v>
      </c>
      <c r="P902" s="569">
        <f t="shared" si="430"/>
        <v>0</v>
      </c>
      <c r="Q902" s="569">
        <f t="shared" si="430"/>
        <v>0</v>
      </c>
      <c r="R902" s="569">
        <f t="shared" si="430"/>
        <v>0</v>
      </c>
      <c r="S902" s="132">
        <f t="shared" si="409"/>
        <v>5</v>
      </c>
      <c r="U902" s="70"/>
      <c r="AH902" s="58"/>
      <c r="AK902" s="8"/>
    </row>
    <row r="903" spans="1:37" x14ac:dyDescent="0.25">
      <c r="A903" s="267" t="s">
        <v>79</v>
      </c>
      <c r="B903" s="497" t="s">
        <v>107</v>
      </c>
      <c r="C903" s="496" t="s">
        <v>14</v>
      </c>
      <c r="D903" s="497" t="s">
        <v>28</v>
      </c>
      <c r="E903" s="285" t="s">
        <v>794</v>
      </c>
      <c r="F903" s="497" t="s">
        <v>9</v>
      </c>
      <c r="G903" s="283">
        <f t="shared" si="430"/>
        <v>0</v>
      </c>
      <c r="H903" s="283">
        <f t="shared" si="430"/>
        <v>5</v>
      </c>
      <c r="I903" s="283">
        <f t="shared" si="430"/>
        <v>0</v>
      </c>
      <c r="J903" s="283">
        <f t="shared" si="430"/>
        <v>0</v>
      </c>
      <c r="K903" s="283">
        <f t="shared" si="430"/>
        <v>0</v>
      </c>
      <c r="L903" s="283">
        <f t="shared" si="430"/>
        <v>0</v>
      </c>
      <c r="M903" s="568">
        <f t="shared" si="430"/>
        <v>0</v>
      </c>
      <c r="N903" s="568">
        <f t="shared" si="430"/>
        <v>0</v>
      </c>
      <c r="O903" s="569">
        <f t="shared" si="430"/>
        <v>0</v>
      </c>
      <c r="P903" s="569">
        <f t="shared" si="430"/>
        <v>0</v>
      </c>
      <c r="Q903" s="569">
        <f t="shared" si="430"/>
        <v>0</v>
      </c>
      <c r="R903" s="569">
        <f t="shared" si="430"/>
        <v>0</v>
      </c>
      <c r="S903" s="132">
        <f t="shared" si="409"/>
        <v>5</v>
      </c>
    </row>
    <row r="904" spans="1:37" x14ac:dyDescent="0.25">
      <c r="A904" s="266" t="s">
        <v>116</v>
      </c>
      <c r="B904" s="380" t="s">
        <v>107</v>
      </c>
      <c r="C904" s="488" t="s">
        <v>14</v>
      </c>
      <c r="D904" s="380" t="s">
        <v>28</v>
      </c>
      <c r="E904" s="265" t="s">
        <v>794</v>
      </c>
      <c r="F904" s="380" t="s">
        <v>114</v>
      </c>
      <c r="G904" s="282"/>
      <c r="H904" s="303">
        <v>5</v>
      </c>
      <c r="I904" s="265"/>
      <c r="J904" s="265"/>
      <c r="K904" s="265"/>
      <c r="L904" s="265"/>
      <c r="M904" s="570"/>
      <c r="N904" s="570"/>
      <c r="O904" s="571"/>
      <c r="P904" s="571"/>
      <c r="Q904" s="571"/>
      <c r="R904" s="571"/>
      <c r="S904" s="566">
        <f t="shared" si="409"/>
        <v>5</v>
      </c>
    </row>
    <row r="905" spans="1:37" x14ac:dyDescent="0.25">
      <c r="M905" s="604"/>
    </row>
    <row r="906" spans="1:37" ht="15.6" hidden="1" x14ac:dyDescent="0.3">
      <c r="S906" s="198"/>
    </row>
    <row r="907" spans="1:37" ht="15.6" hidden="1" x14ac:dyDescent="0.3">
      <c r="C907" s="500"/>
      <c r="D907" s="502"/>
      <c r="F907" s="502"/>
      <c r="G907" s="483"/>
      <c r="H907" s="483"/>
      <c r="I907" s="483"/>
      <c r="K907" s="483"/>
      <c r="L907" s="483"/>
      <c r="M907" s="583"/>
      <c r="N907" s="583"/>
      <c r="O907" s="584"/>
      <c r="P907" s="584"/>
      <c r="Q907" s="584"/>
      <c r="R907" s="584"/>
      <c r="S907" s="658"/>
    </row>
    <row r="908" spans="1:37" ht="15.6" hidden="1" x14ac:dyDescent="0.3">
      <c r="B908" s="668" t="s">
        <v>76</v>
      </c>
      <c r="C908" s="671"/>
      <c r="D908" s="672"/>
      <c r="E908" s="673"/>
      <c r="F908" s="503" t="s">
        <v>841</v>
      </c>
      <c r="G908" s="287"/>
      <c r="H908" s="295"/>
      <c r="I908" s="287"/>
      <c r="J908" s="287"/>
      <c r="K908" s="287"/>
      <c r="L908" s="287"/>
      <c r="M908" s="585"/>
      <c r="N908" s="585"/>
      <c r="O908" s="269"/>
      <c r="P908" s="269"/>
      <c r="Q908" s="269"/>
      <c r="R908" s="269"/>
      <c r="S908" s="269">
        <f>S789+S788+S435+S384+S383+S526+S524+S522+S520+S394+S393+S798+S797+S801+S817+S518+S397+S396+S413+S466</f>
        <v>23383.780000000002</v>
      </c>
    </row>
    <row r="909" spans="1:37" ht="15.6" hidden="1" x14ac:dyDescent="0.3">
      <c r="B909" s="669"/>
      <c r="C909" s="674"/>
      <c r="D909" s="675"/>
      <c r="E909" s="676"/>
      <c r="F909" s="503" t="s">
        <v>842</v>
      </c>
      <c r="G909" s="287"/>
      <c r="H909" s="295"/>
      <c r="I909" s="287"/>
      <c r="J909" s="287"/>
      <c r="K909" s="287"/>
      <c r="L909" s="287"/>
      <c r="M909" s="585"/>
      <c r="N909" s="585"/>
      <c r="O909" s="269"/>
      <c r="P909" s="269"/>
      <c r="Q909" s="269"/>
      <c r="R909" s="269"/>
      <c r="S909" s="269">
        <f>S724+S562+S571+S827-377</f>
        <v>20924.2765</v>
      </c>
    </row>
    <row r="910" spans="1:37" ht="15.6" hidden="1" x14ac:dyDescent="0.3">
      <c r="B910" s="669"/>
      <c r="C910" s="674"/>
      <c r="D910" s="675"/>
      <c r="E910" s="676"/>
      <c r="F910" s="503" t="s">
        <v>850</v>
      </c>
      <c r="G910" s="287"/>
      <c r="H910" s="295"/>
      <c r="I910" s="287"/>
      <c r="J910" s="287"/>
      <c r="K910" s="287"/>
      <c r="L910" s="287"/>
      <c r="M910" s="585"/>
      <c r="N910" s="585"/>
      <c r="O910" s="269"/>
      <c r="P910" s="269"/>
      <c r="Q910" s="269"/>
      <c r="R910" s="269"/>
      <c r="S910" s="269">
        <f>S571</f>
        <v>0</v>
      </c>
    </row>
    <row r="911" spans="1:37" ht="46.9" hidden="1" x14ac:dyDescent="0.3">
      <c r="B911" s="670"/>
      <c r="C911" s="677"/>
      <c r="D911" s="678"/>
      <c r="E911" s="679"/>
      <c r="F911" s="504" t="s">
        <v>849</v>
      </c>
      <c r="G911" s="289"/>
      <c r="H911" s="296"/>
      <c r="I911" s="289"/>
      <c r="J911" s="289"/>
      <c r="K911" s="289"/>
      <c r="L911" s="289"/>
      <c r="M911" s="586"/>
      <c r="N911" s="586"/>
      <c r="O911" s="587"/>
      <c r="P911" s="587"/>
      <c r="Q911" s="587"/>
      <c r="R911" s="587"/>
      <c r="S911" s="269">
        <f>S726+S581+377</f>
        <v>1387.8409999999999</v>
      </c>
    </row>
    <row r="912" spans="1:37" ht="15.6" hidden="1" x14ac:dyDescent="0.3">
      <c r="B912" s="666" t="s">
        <v>22</v>
      </c>
      <c r="C912" s="667"/>
      <c r="D912" s="667"/>
      <c r="E912" s="667"/>
      <c r="F912" s="503" t="s">
        <v>841</v>
      </c>
      <c r="G912" s="287"/>
      <c r="H912" s="295"/>
      <c r="I912" s="287"/>
      <c r="J912" s="287"/>
      <c r="K912" s="287"/>
      <c r="L912" s="287"/>
      <c r="M912" s="585"/>
      <c r="N912" s="585"/>
      <c r="O912" s="269"/>
      <c r="P912" s="269"/>
      <c r="Q912" s="269"/>
      <c r="R912" s="269"/>
      <c r="S912" s="269">
        <f>S168+S184+S174+S175+S110+S75+S76+S77+S187+S50+S51+S52+S189</f>
        <v>216545.80000000002</v>
      </c>
      <c r="AA912" s="85"/>
    </row>
    <row r="913" spans="2:19" ht="15.6" hidden="1" x14ac:dyDescent="0.3">
      <c r="B913" s="666"/>
      <c r="C913" s="667"/>
      <c r="D913" s="667"/>
      <c r="E913" s="667"/>
      <c r="F913" s="503" t="s">
        <v>842</v>
      </c>
      <c r="G913" s="287"/>
      <c r="H913" s="295"/>
      <c r="I913" s="287"/>
      <c r="J913" s="287"/>
      <c r="K913" s="287"/>
      <c r="L913" s="287"/>
      <c r="M913" s="585"/>
      <c r="N913" s="585"/>
      <c r="O913" s="269"/>
      <c r="P913" s="269"/>
      <c r="Q913" s="269"/>
      <c r="R913" s="269"/>
      <c r="S913" s="269">
        <f>S112-97.9+S148+S98-23.8</f>
        <v>10567.000000000002</v>
      </c>
    </row>
    <row r="914" spans="2:19" ht="46.9" hidden="1" x14ac:dyDescent="0.3">
      <c r="B914" s="666"/>
      <c r="C914" s="667"/>
      <c r="D914" s="667"/>
      <c r="E914" s="667"/>
      <c r="F914" s="504" t="s">
        <v>849</v>
      </c>
      <c r="G914" s="289"/>
      <c r="H914" s="296"/>
      <c r="I914" s="289"/>
      <c r="J914" s="289"/>
      <c r="K914" s="289"/>
      <c r="L914" s="289"/>
      <c r="M914" s="586"/>
      <c r="N914" s="586"/>
      <c r="O914" s="587"/>
      <c r="P914" s="587"/>
      <c r="Q914" s="587"/>
      <c r="R914" s="587"/>
      <c r="S914" s="269">
        <f>97.9+23.8+S150</f>
        <v>121.7</v>
      </c>
    </row>
    <row r="915" spans="2:19" ht="15.6" hidden="1" x14ac:dyDescent="0.3">
      <c r="B915" s="666"/>
      <c r="C915" s="667"/>
      <c r="D915" s="667"/>
      <c r="E915" s="667"/>
      <c r="F915" s="503" t="s">
        <v>856</v>
      </c>
      <c r="G915" s="287"/>
      <c r="H915" s="295"/>
      <c r="I915" s="287"/>
      <c r="J915" s="287"/>
      <c r="K915" s="287"/>
      <c r="L915" s="287"/>
      <c r="M915" s="585"/>
      <c r="N915" s="585"/>
      <c r="O915" s="269"/>
      <c r="P915" s="269"/>
      <c r="Q915" s="269"/>
      <c r="R915" s="269"/>
      <c r="S915" s="269">
        <f>S114</f>
        <v>12967.9</v>
      </c>
    </row>
    <row r="916" spans="2:19" ht="15.6" hidden="1" x14ac:dyDescent="0.3">
      <c r="B916" s="666" t="s">
        <v>70</v>
      </c>
      <c r="C916" s="667"/>
      <c r="D916" s="667"/>
      <c r="E916" s="667"/>
      <c r="F916" s="503" t="s">
        <v>842</v>
      </c>
      <c r="G916" s="287"/>
      <c r="H916" s="295"/>
      <c r="I916" s="287"/>
      <c r="J916" s="287"/>
      <c r="K916" s="287"/>
      <c r="L916" s="287"/>
      <c r="M916" s="585"/>
      <c r="N916" s="585"/>
      <c r="O916" s="269"/>
      <c r="P916" s="269"/>
      <c r="Q916" s="269"/>
      <c r="R916" s="269"/>
      <c r="S916" s="269">
        <f>S345-167.1</f>
        <v>-167.1</v>
      </c>
    </row>
    <row r="917" spans="2:19" ht="46.9" hidden="1" x14ac:dyDescent="0.3">
      <c r="B917" s="666"/>
      <c r="C917" s="667"/>
      <c r="D917" s="667"/>
      <c r="E917" s="667"/>
      <c r="F917" s="504" t="s">
        <v>849</v>
      </c>
      <c r="G917" s="289"/>
      <c r="H917" s="296"/>
      <c r="I917" s="289"/>
      <c r="J917" s="289"/>
      <c r="K917" s="289"/>
      <c r="L917" s="289"/>
      <c r="M917" s="586"/>
      <c r="N917" s="586"/>
      <c r="O917" s="587"/>
      <c r="P917" s="587"/>
      <c r="Q917" s="587"/>
      <c r="R917" s="587"/>
      <c r="S917" s="269">
        <f>167.1</f>
        <v>167.1</v>
      </c>
    </row>
    <row r="918" spans="2:19" ht="31.15" hidden="1" x14ac:dyDescent="0.3">
      <c r="B918" s="666" t="s">
        <v>49</v>
      </c>
      <c r="C918" s="667"/>
      <c r="D918" s="667"/>
      <c r="E918" s="667"/>
      <c r="F918" s="504" t="s">
        <v>857</v>
      </c>
      <c r="G918" s="289"/>
      <c r="H918" s="296"/>
      <c r="I918" s="289"/>
      <c r="J918" s="289"/>
      <c r="K918" s="289"/>
      <c r="L918" s="289"/>
      <c r="M918" s="586"/>
      <c r="N918" s="586"/>
      <c r="O918" s="587"/>
      <c r="P918" s="587"/>
      <c r="Q918" s="587"/>
      <c r="R918" s="587"/>
      <c r="S918" s="269">
        <f>S279+S232</f>
        <v>5466</v>
      </c>
    </row>
    <row r="919" spans="2:19" ht="46.9" hidden="1" x14ac:dyDescent="0.3">
      <c r="B919" s="666"/>
      <c r="C919" s="667"/>
      <c r="D919" s="667"/>
      <c r="E919" s="667"/>
      <c r="F919" s="504" t="s">
        <v>858</v>
      </c>
      <c r="G919" s="289"/>
      <c r="H919" s="296"/>
      <c r="I919" s="289"/>
      <c r="J919" s="289"/>
      <c r="K919" s="289"/>
      <c r="L919" s="289"/>
      <c r="M919" s="586"/>
      <c r="N919" s="586"/>
      <c r="O919" s="587"/>
      <c r="P919" s="587"/>
      <c r="Q919" s="587"/>
      <c r="R919" s="587"/>
      <c r="S919" s="269">
        <f>S281</f>
        <v>234</v>
      </c>
    </row>
  </sheetData>
  <autoFilter ref="A11:IE904">
    <filterColumn colId="18">
      <filters>
        <filter val="0,1"/>
        <filter val="0,6"/>
        <filter val="0,7"/>
        <filter val="1 000,0"/>
        <filter val="1 010,1"/>
        <filter val="1 038,4"/>
        <filter val="1 061,8"/>
        <filter val="1 100,0"/>
        <filter val="1 102,0"/>
        <filter val="1 124,8"/>
        <filter val="1 200,0"/>
        <filter val="1 212,4"/>
        <filter val="1 218,7"/>
        <filter val="1 267,0"/>
        <filter val="1 315,8"/>
        <filter val="1 427,3"/>
        <filter val="1 432,3"/>
        <filter val="1 446,8"/>
        <filter val="1 477,3"/>
        <filter val="1 479,3"/>
        <filter val="1 521,6"/>
        <filter val="1 607,6"/>
        <filter val="1 624,1"/>
        <filter val="1 677,6"/>
        <filter val="1 682,7"/>
        <filter val="1 764,9"/>
        <filter val="1 909,8"/>
        <filter val="1 994,9"/>
        <filter val="10 270,6"/>
        <filter val="10 664,2"/>
        <filter val="10 688,7"/>
        <filter val="10 720,4"/>
        <filter val="10,0"/>
        <filter val="10,5"/>
        <filter val="100,0"/>
        <filter val="102,7"/>
        <filter val="108,4"/>
        <filter val="11 124,1"/>
        <filter val="11 529,7"/>
        <filter val="12 055,4"/>
        <filter val="12 255,6"/>
        <filter val="12 426,1"/>
        <filter val="12 954,7"/>
        <filter val="12 967,9"/>
        <filter val="12,4"/>
        <filter val="120,1"/>
        <filter val="122,3"/>
        <filter val="122,4"/>
        <filter val="128,9"/>
        <filter val="139,3"/>
        <filter val="14 452,4"/>
        <filter val="14 709,4"/>
        <filter val="14,3"/>
        <filter val="141 388,3"/>
        <filter val="145 295,6"/>
        <filter val="145,7"/>
        <filter val="15 896,7"/>
        <filter val="15,0"/>
        <filter val="150,2"/>
        <filter val="156,0"/>
        <filter val="16 057,3"/>
        <filter val="160,6"/>
        <filter val="161 352,9"/>
        <filter val="165 949,2"/>
        <filter val="166,4"/>
        <filter val="166,8"/>
        <filter val="167 943,8"/>
        <filter val="170 138,0"/>
        <filter val="181,0"/>
        <filter val="19 177,0"/>
        <filter val="19 667,6"/>
        <filter val="19 706,4"/>
        <filter val="19 884,4"/>
        <filter val="191,6"/>
        <filter val="2 026,0"/>
        <filter val="2 026,5"/>
        <filter val="2 051,4"/>
        <filter val="2 084,0"/>
        <filter val="2 102,0"/>
        <filter val="2 107,8"/>
        <filter val="2 122,3"/>
        <filter val="2 128,8"/>
        <filter val="2 135,7"/>
        <filter val="2 192,0"/>
        <filter val="2 246,0"/>
        <filter val="2 300,0"/>
        <filter val="2 377,6"/>
        <filter val="2 427,4"/>
        <filter val="2 551,3"/>
        <filter val="2 647,6"/>
        <filter val="2 730,0"/>
        <filter val="2 746,0"/>
        <filter val="2 786,9"/>
        <filter val="2 959,2"/>
        <filter val="2 974,9"/>
        <filter val="2 980,5"/>
        <filter val="2,2"/>
        <filter val="20 143,3"/>
        <filter val="20 642,5"/>
        <filter val="20 670,6"/>
        <filter val="20 824,9"/>
        <filter val="208,5"/>
        <filter val="21,0"/>
        <filter val="21,7"/>
        <filter val="22 003,4"/>
        <filter val="22 938,3"/>
        <filter val="22,3"/>
        <filter val="220,3"/>
        <filter val="23 110,9"/>
        <filter val="23 942,7"/>
        <filter val="23,1"/>
        <filter val="234,0"/>
        <filter val="24 798,2"/>
        <filter val="24 898,0"/>
        <filter val="24,0"/>
        <filter val="25,0"/>
        <filter val="257,0"/>
        <filter val="26 667,9"/>
        <filter val="27 633,5"/>
        <filter val="27 654,4"/>
        <filter val="276,6"/>
        <filter val="28 754,4"/>
        <filter val="285,9"/>
        <filter val="286,9"/>
        <filter val="288,0"/>
        <filter val="29 087,7"/>
        <filter val="29,0"/>
        <filter val="29,9"/>
        <filter val="296 488,7"/>
        <filter val="3 122,2"/>
        <filter val="3 258,6"/>
        <filter val="3 260,8"/>
        <filter val="3 290,5"/>
        <filter val="3 293,8"/>
        <filter val="3 351,0"/>
        <filter val="3 379,1"/>
        <filter val="3 433,6"/>
        <filter val="3 600,0"/>
        <filter val="3 685,7"/>
        <filter val="3 695,0"/>
        <filter val="3 819,4"/>
        <filter val="3 961,4"/>
        <filter val="3,8"/>
        <filter val="300,0"/>
        <filter val="310,0"/>
        <filter val="310,9"/>
        <filter val="32 573,6"/>
        <filter val="32 754,5"/>
        <filter val="32,0"/>
        <filter val="33 628,0"/>
        <filter val="33 792,9"/>
        <filter val="335,0"/>
        <filter val="348,1"/>
        <filter val="35 173,2"/>
        <filter val="35 708,6"/>
        <filter val="35 828,7"/>
        <filter val="35,0"/>
        <filter val="358,4"/>
        <filter val="36 465,5"/>
        <filter val="363,0"/>
        <filter val="368,8"/>
        <filter val="37,5"/>
        <filter val="374,8"/>
        <filter val="377 271,5"/>
        <filter val="39 166,5"/>
        <filter val="39,1"/>
        <filter val="395,4"/>
        <filter val="4 042,8"/>
        <filter val="4 065,9"/>
        <filter val="4 575,9"/>
        <filter val="4,6"/>
        <filter val="401,6"/>
        <filter val="41,6"/>
        <filter val="415,6"/>
        <filter val="42 871,2"/>
        <filter val="424 399,1"/>
        <filter val="43 515,0"/>
        <filter val="437 723,4"/>
        <filter val="45,9"/>
        <filter val="46,9"/>
        <filter val="460,5"/>
        <filter val="469,0"/>
        <filter val="475,0"/>
        <filter val="488,8"/>
        <filter val="49 215,0"/>
        <filter val="5 000,0"/>
        <filter val="5 259,4"/>
        <filter val="5 466,0"/>
        <filter val="5 620,3"/>
        <filter val="5 674,7"/>
        <filter val="5 700,0"/>
        <filter val="5 726,3"/>
        <filter val="5 984,7"/>
        <filter val="5 988,0"/>
        <filter val="5,0"/>
        <filter val="5,1"/>
        <filter val="5,3"/>
        <filter val="500,0"/>
        <filter val="51,0"/>
        <filter val="52 448,3"/>
        <filter val="535,4"/>
        <filter val="54,4"/>
        <filter val="54,7"/>
        <filter val="549,6"/>
        <filter val="57 939,9"/>
        <filter val="57,5"/>
        <filter val="58,5"/>
        <filter val="59,4"/>
        <filter val="59,8"/>
        <filter val="592,0"/>
        <filter val="592,2"/>
        <filter val="6 975,0"/>
        <filter val="6,5"/>
        <filter val="60,0"/>
        <filter val="60,5"/>
        <filter val="61 045,8"/>
        <filter val="62 279,2"/>
        <filter val="621,6"/>
        <filter val="639,0"/>
        <filter val="64 331,9"/>
        <filter val="662,9"/>
        <filter val="690,0"/>
        <filter val="7 045,5"/>
        <filter val="7 290,6"/>
        <filter val="7 563,3"/>
        <filter val="7 650,5"/>
        <filter val="7 655,6"/>
        <filter val="7,5"/>
        <filter val="70,5"/>
        <filter val="708,6"/>
        <filter val="709,8"/>
        <filter val="719,3"/>
        <filter val="72,9"/>
        <filter val="728,9"/>
        <filter val="73,6"/>
        <filter val="742,5"/>
        <filter val="747,7"/>
        <filter val="750,0"/>
        <filter val="752,3"/>
        <filter val="772,3"/>
        <filter val="779,0"/>
        <filter val="79 336,7"/>
        <filter val="8 075,3"/>
        <filter val="8 191,9"/>
        <filter val="8 275,7"/>
        <filter val="8 281,2"/>
        <filter val="8 478,7"/>
        <filter val="8 518,0"/>
        <filter val="8 576,0"/>
        <filter val="8 757,0"/>
        <filter val="8 794,6"/>
        <filter val="8 802,9"/>
        <filter val="8,3"/>
        <filter val="8,4"/>
        <filter val="809,8"/>
        <filter val="819,8"/>
        <filter val="83,8"/>
        <filter val="830,0"/>
        <filter val="831,1"/>
        <filter val="838,3"/>
        <filter val="86,0"/>
        <filter val="88,5"/>
        <filter val="883 173,9"/>
        <filter val="9 019,2"/>
        <filter val="9 096,9"/>
        <filter val="9 171,7"/>
        <filter val="9 378,5"/>
        <filter val="903,3"/>
        <filter val="94 130,8"/>
        <filter val="948,3"/>
        <filter val="95,0"/>
        <filter val="958,3"/>
        <filter val="96,8"/>
        <filter val="97,5"/>
        <filter val="974,7"/>
        <filter val="98 268,6"/>
        <filter val="99,0"/>
        <filter val="991,5"/>
      </filters>
    </filterColumn>
  </autoFilter>
  <mergeCells count="16">
    <mergeCell ref="G10:H10"/>
    <mergeCell ref="B912:B915"/>
    <mergeCell ref="C912:E915"/>
    <mergeCell ref="A7:S7"/>
    <mergeCell ref="A8:S8"/>
    <mergeCell ref="A10:A11"/>
    <mergeCell ref="B10:F10"/>
    <mergeCell ref="S10:S11"/>
    <mergeCell ref="I10:K10"/>
    <mergeCell ref="L10:L11"/>
    <mergeCell ref="B916:B917"/>
    <mergeCell ref="C916:E917"/>
    <mergeCell ref="B918:B919"/>
    <mergeCell ref="C918:E919"/>
    <mergeCell ref="B908:B911"/>
    <mergeCell ref="C908:E911"/>
  </mergeCells>
  <pageMargins left="0.70866141732283472" right="0.59055118110236227" top="0.39370078740157483" bottom="0.39370078740157483" header="0.31496062992125984" footer="0.31496062992125984"/>
  <pageSetup paperSize="9" scale="5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H71"/>
  <sheetViews>
    <sheetView view="pageBreakPreview" topLeftCell="C1" zoomScaleNormal="100" zoomScaleSheetLayoutView="100" workbookViewId="0">
      <selection activeCell="E4" sqref="E4:F4"/>
    </sheetView>
  </sheetViews>
  <sheetFormatPr defaultColWidth="9.140625" defaultRowHeight="15.75" x14ac:dyDescent="0.25"/>
  <cols>
    <col min="1" max="2" width="0" style="6" hidden="1" customWidth="1"/>
    <col min="3" max="3" width="92" style="293" customWidth="1"/>
    <col min="4" max="4" width="13.42578125" style="294" customWidth="1"/>
    <col min="5" max="5" width="11.85546875" style="294" customWidth="1"/>
    <col min="6" max="6" width="17.28515625" style="377" customWidth="1"/>
    <col min="7" max="8" width="14.42578125" style="7" hidden="1" customWidth="1"/>
    <col min="9" max="11" width="9.140625" style="48"/>
    <col min="12" max="12" width="20.140625" style="48" customWidth="1"/>
    <col min="13" max="16384" width="9.140625" style="48"/>
  </cols>
  <sheetData>
    <row r="1" spans="1:8" s="95" customFormat="1" ht="18.75" x14ac:dyDescent="0.3">
      <c r="A1" s="3"/>
      <c r="B1" s="3"/>
      <c r="D1" s="68"/>
      <c r="E1" s="68"/>
      <c r="F1" s="378" t="s">
        <v>226</v>
      </c>
      <c r="G1" s="1"/>
    </row>
    <row r="2" spans="1:8" s="95" customFormat="1" ht="18.75" x14ac:dyDescent="0.3">
      <c r="A2" s="3"/>
      <c r="B2" s="3"/>
      <c r="D2" s="68"/>
      <c r="E2" s="69"/>
      <c r="F2" s="378" t="s">
        <v>587</v>
      </c>
      <c r="G2" s="2"/>
    </row>
    <row r="3" spans="1:8" s="95" customFormat="1" ht="18.75" x14ac:dyDescent="0.3">
      <c r="A3" s="3"/>
      <c r="B3" s="3"/>
      <c r="D3" s="68"/>
      <c r="E3"/>
      <c r="F3" s="378" t="s">
        <v>2</v>
      </c>
      <c r="G3" s="2"/>
    </row>
    <row r="4" spans="1:8" s="95" customFormat="1" ht="18.75" x14ac:dyDescent="0.3">
      <c r="A4" s="3"/>
      <c r="B4" s="3"/>
      <c r="D4" s="68"/>
      <c r="E4" s="704" t="s">
        <v>1271</v>
      </c>
      <c r="F4" s="704"/>
      <c r="G4" s="1"/>
    </row>
    <row r="5" spans="1:8" s="95" customFormat="1" ht="15.6" x14ac:dyDescent="0.3">
      <c r="A5" s="3"/>
      <c r="B5" s="3"/>
      <c r="C5" s="290"/>
      <c r="D5" s="291"/>
      <c r="E5" s="291"/>
      <c r="F5" s="292"/>
      <c r="G5" s="4"/>
      <c r="H5" s="4"/>
    </row>
    <row r="6" spans="1:8" s="95" customFormat="1" x14ac:dyDescent="0.25">
      <c r="A6" s="3"/>
      <c r="B6" s="3"/>
      <c r="C6" s="705" t="s">
        <v>134</v>
      </c>
      <c r="D6" s="705"/>
      <c r="E6" s="705"/>
      <c r="F6" s="706"/>
      <c r="G6" s="4"/>
      <c r="H6" s="4"/>
    </row>
    <row r="7" spans="1:8" s="95" customFormat="1" x14ac:dyDescent="0.25">
      <c r="A7" s="3"/>
      <c r="B7" s="3"/>
      <c r="C7" s="707" t="s">
        <v>1071</v>
      </c>
      <c r="D7" s="707"/>
      <c r="E7" s="707"/>
      <c r="F7" s="708"/>
      <c r="G7" s="4"/>
      <c r="H7" s="4"/>
    </row>
    <row r="8" spans="1:8" s="95" customFormat="1" ht="15.6" x14ac:dyDescent="0.3">
      <c r="A8" s="3"/>
      <c r="B8" s="3"/>
      <c r="C8" s="290"/>
      <c r="D8" s="291"/>
      <c r="E8" s="291"/>
      <c r="F8" s="292"/>
      <c r="G8" s="4"/>
      <c r="H8" s="4"/>
    </row>
    <row r="9" spans="1:8" s="95" customFormat="1" x14ac:dyDescent="0.25">
      <c r="A9" s="3"/>
      <c r="B9" s="3"/>
      <c r="C9" s="709" t="s">
        <v>584</v>
      </c>
      <c r="D9" s="711" t="s">
        <v>203</v>
      </c>
      <c r="E9" s="711" t="s">
        <v>204</v>
      </c>
      <c r="F9" s="713" t="s">
        <v>999</v>
      </c>
      <c r="G9" s="700" t="s">
        <v>363</v>
      </c>
      <c r="H9" s="701"/>
    </row>
    <row r="10" spans="1:8" s="95" customFormat="1" ht="16.5" hidden="1" customHeight="1" x14ac:dyDescent="0.3">
      <c r="A10" s="3"/>
      <c r="B10" s="3"/>
      <c r="C10" s="710"/>
      <c r="D10" s="712"/>
      <c r="E10" s="712"/>
      <c r="F10" s="714"/>
      <c r="G10" s="130" t="s">
        <v>683</v>
      </c>
      <c r="H10" s="130" t="s">
        <v>709</v>
      </c>
    </row>
    <row r="11" spans="1:8" s="96" customFormat="1" x14ac:dyDescent="0.25">
      <c r="A11" s="5" t="s">
        <v>137</v>
      </c>
      <c r="B11" s="5" t="s">
        <v>138</v>
      </c>
      <c r="C11" s="89" t="s">
        <v>138</v>
      </c>
      <c r="D11" s="90" t="s">
        <v>10</v>
      </c>
      <c r="E11" s="90" t="s">
        <v>10</v>
      </c>
      <c r="F11" s="134">
        <f>F12+F21+F23+F26+F37+F41+F48+F50+F55+F58+F60+F32</f>
        <v>883173.85099999991</v>
      </c>
      <c r="G11" s="134" t="e">
        <f>G12+G21+G23+G26+G37+G41+G48+G50+G55+G58+G60+G32</f>
        <v>#REF!</v>
      </c>
      <c r="H11" s="134" t="e">
        <f>H12+H21+H23+H26+H37+H41+H48+H50+H55+H58+H60+H32</f>
        <v>#REF!</v>
      </c>
    </row>
    <row r="12" spans="1:8" s="96" customFormat="1" x14ac:dyDescent="0.25">
      <c r="A12" s="5" t="s">
        <v>139</v>
      </c>
      <c r="B12" s="5" t="s">
        <v>23</v>
      </c>
      <c r="C12" s="89" t="s">
        <v>23</v>
      </c>
      <c r="D12" s="90" t="s">
        <v>14</v>
      </c>
      <c r="E12" s="90" t="s">
        <v>10</v>
      </c>
      <c r="F12" s="134">
        <f>SUM(F13:F20)</f>
        <v>81269.752100000012</v>
      </c>
      <c r="G12" s="134" t="e">
        <f>SUM(G13:G20)</f>
        <v>#REF!</v>
      </c>
      <c r="H12" s="134" t="e">
        <f>SUM(H13:H20)</f>
        <v>#REF!</v>
      </c>
    </row>
    <row r="13" spans="1:8" ht="31.5" x14ac:dyDescent="0.25">
      <c r="A13" s="6" t="s">
        <v>140</v>
      </c>
      <c r="B13" s="6" t="s">
        <v>102</v>
      </c>
      <c r="C13" s="92" t="s">
        <v>102</v>
      </c>
      <c r="D13" s="93" t="s">
        <v>14</v>
      </c>
      <c r="E13" s="93" t="s">
        <v>36</v>
      </c>
      <c r="F13" s="135">
        <f>'Прил 5'!S374</f>
        <v>1479.3</v>
      </c>
      <c r="G13" s="135" t="e">
        <f>'[1]Прил 7'!#REF!</f>
        <v>#REF!</v>
      </c>
      <c r="H13" s="135" t="e">
        <f>'[1]Прил 7'!#REF!</f>
        <v>#REF!</v>
      </c>
    </row>
    <row r="14" spans="1:8" ht="31.5" x14ac:dyDescent="0.25">
      <c r="C14" s="78" t="s">
        <v>104</v>
      </c>
      <c r="D14" s="93" t="s">
        <v>14</v>
      </c>
      <c r="E14" s="93" t="s">
        <v>20</v>
      </c>
      <c r="F14" s="135">
        <f>'Прил 5'!S880</f>
        <v>401.6</v>
      </c>
      <c r="G14" s="135" t="e">
        <f>'[1]Прил 7'!#REF!</f>
        <v>#REF!</v>
      </c>
      <c r="H14" s="135" t="e">
        <f>'[1]Прил 7'!#REF!</f>
        <v>#REF!</v>
      </c>
    </row>
    <row r="15" spans="1:8" ht="47.25" x14ac:dyDescent="0.25">
      <c r="A15" s="6" t="s">
        <v>141</v>
      </c>
      <c r="B15" s="6" t="s">
        <v>24</v>
      </c>
      <c r="C15" s="92" t="s">
        <v>24</v>
      </c>
      <c r="D15" s="93" t="s">
        <v>14</v>
      </c>
      <c r="E15" s="93" t="s">
        <v>25</v>
      </c>
      <c r="F15" s="135">
        <f>'Прил 5'!S15+'Прил 5'!S207+'Прил 5'!S313+'Прил 5'!S379</f>
        <v>39712.26</v>
      </c>
      <c r="G15" s="135" t="e">
        <f>'[1]Прил 7'!#REF!+'[1]Прил 7'!#REF!+'[1]Прил 7'!#REF!+'[1]Прил 7'!#REF!</f>
        <v>#REF!</v>
      </c>
      <c r="H15" s="135" t="e">
        <f>'[1]Прил 7'!#REF!+'[1]Прил 7'!#REF!+'[1]Прил 7'!#REF!+'[1]Прил 7'!#REF!</f>
        <v>#REF!</v>
      </c>
    </row>
    <row r="16" spans="1:8" x14ac:dyDescent="0.25">
      <c r="C16" s="92" t="s">
        <v>656</v>
      </c>
      <c r="D16" s="93" t="s">
        <v>14</v>
      </c>
      <c r="E16" s="93" t="s">
        <v>58</v>
      </c>
      <c r="F16" s="135">
        <f>'Прил 5'!S410</f>
        <v>5.3</v>
      </c>
      <c r="G16" s="135" t="e">
        <f>'[1]Прил 7'!#REF!</f>
        <v>#REF!</v>
      </c>
      <c r="H16" s="135" t="e">
        <f>'[1]Прил 7'!#REF!</f>
        <v>#REF!</v>
      </c>
    </row>
    <row r="17" spans="1:8" ht="31.5" x14ac:dyDescent="0.25">
      <c r="A17" s="6" t="s">
        <v>142</v>
      </c>
      <c r="B17" s="6" t="s">
        <v>108</v>
      </c>
      <c r="C17" s="92" t="s">
        <v>108</v>
      </c>
      <c r="D17" s="93" t="s">
        <v>14</v>
      </c>
      <c r="E17" s="93" t="s">
        <v>90</v>
      </c>
      <c r="F17" s="135">
        <f>'Прил 5'!S891</f>
        <v>1427.3</v>
      </c>
      <c r="G17" s="135" t="e">
        <f>'[1]Прил 7'!#REF!</f>
        <v>#REF!</v>
      </c>
      <c r="H17" s="135" t="e">
        <f>'[1]Прил 7'!#REF!</f>
        <v>#REF!</v>
      </c>
    </row>
    <row r="18" spans="1:8" x14ac:dyDescent="0.25">
      <c r="C18" s="92" t="s">
        <v>863</v>
      </c>
      <c r="D18" s="93" t="s">
        <v>14</v>
      </c>
      <c r="E18" s="93" t="s">
        <v>31</v>
      </c>
      <c r="F18" s="135">
        <f>'Прил 5'!S414</f>
        <v>300</v>
      </c>
      <c r="G18" s="135"/>
      <c r="H18" s="135"/>
    </row>
    <row r="19" spans="1:8" x14ac:dyDescent="0.25">
      <c r="A19" s="6" t="s">
        <v>143</v>
      </c>
      <c r="B19" s="6" t="s">
        <v>50</v>
      </c>
      <c r="C19" s="92" t="s">
        <v>50</v>
      </c>
      <c r="D19" s="93" t="s">
        <v>14</v>
      </c>
      <c r="E19" s="93" t="s">
        <v>51</v>
      </c>
      <c r="F19" s="135">
        <f>'Прил 5'!S216</f>
        <v>100</v>
      </c>
      <c r="G19" s="135" t="e">
        <f>'[1]Прил 7'!#REF!</f>
        <v>#REF!</v>
      </c>
      <c r="H19" s="135" t="e">
        <f>'[1]Прил 7'!#REF!</f>
        <v>#REF!</v>
      </c>
    </row>
    <row r="20" spans="1:8" x14ac:dyDescent="0.25">
      <c r="A20" s="6" t="s">
        <v>144</v>
      </c>
      <c r="B20" s="6" t="s">
        <v>27</v>
      </c>
      <c r="C20" s="92" t="s">
        <v>27</v>
      </c>
      <c r="D20" s="93" t="s">
        <v>14</v>
      </c>
      <c r="E20" s="93" t="s">
        <v>28</v>
      </c>
      <c r="F20" s="135">
        <f>'Прил 5'!S221+'Прил 5'!S323+'Прил 5'!S419+'Прил 5'!S885+'Прил 5'!S900</f>
        <v>37843.992099999996</v>
      </c>
      <c r="G20" s="135" t="e">
        <f>'[1]Прил 7'!#REF!+'[1]Прил 7'!#REF!+'[1]Прил 7'!#REF!+'[1]Прил 7'!#REF!+'[1]Прил 7'!#REF!</f>
        <v>#REF!</v>
      </c>
      <c r="H20" s="135" t="e">
        <f>'[1]Прил 7'!#REF!+'[1]Прил 7'!#REF!+'[1]Прил 7'!#REF!+'[1]Прил 7'!#REF!+'[1]Прил 7'!#REF!</f>
        <v>#REF!</v>
      </c>
    </row>
    <row r="21" spans="1:8" s="96" customFormat="1" ht="15.6" hidden="1" x14ac:dyDescent="0.3">
      <c r="A21" s="5" t="s">
        <v>145</v>
      </c>
      <c r="B21" s="5" t="s">
        <v>54</v>
      </c>
      <c r="C21" s="89" t="s">
        <v>54</v>
      </c>
      <c r="D21" s="90" t="s">
        <v>36</v>
      </c>
      <c r="E21" s="90" t="s">
        <v>10</v>
      </c>
      <c r="F21" s="134">
        <f>F22</f>
        <v>0</v>
      </c>
      <c r="G21" s="134" t="e">
        <f>G22</f>
        <v>#REF!</v>
      </c>
      <c r="H21" s="134" t="e">
        <f>H22</f>
        <v>#REF!</v>
      </c>
    </row>
    <row r="22" spans="1:8" ht="15.6" hidden="1" x14ac:dyDescent="0.3">
      <c r="A22" s="6" t="s">
        <v>146</v>
      </c>
      <c r="B22" s="6" t="s">
        <v>55</v>
      </c>
      <c r="C22" s="92" t="s">
        <v>55</v>
      </c>
      <c r="D22" s="93" t="s">
        <v>36</v>
      </c>
      <c r="E22" s="93" t="s">
        <v>20</v>
      </c>
      <c r="F22" s="135">
        <f>'[1]Прил 7'!S173</f>
        <v>0</v>
      </c>
      <c r="G22" s="135" t="e">
        <f>'[1]Прил 7'!#REF!</f>
        <v>#REF!</v>
      </c>
      <c r="H22" s="135" t="e">
        <f>'[1]Прил 7'!#REF!</f>
        <v>#REF!</v>
      </c>
    </row>
    <row r="23" spans="1:8" s="96" customFormat="1" x14ac:dyDescent="0.25">
      <c r="A23" s="5" t="s">
        <v>147</v>
      </c>
      <c r="B23" s="5" t="s">
        <v>80</v>
      </c>
      <c r="C23" s="89" t="s">
        <v>80</v>
      </c>
      <c r="D23" s="90" t="s">
        <v>20</v>
      </c>
      <c r="E23" s="90" t="s">
        <v>10</v>
      </c>
      <c r="F23" s="134">
        <f>F24+F25</f>
        <v>2427.3999999999996</v>
      </c>
      <c r="G23" s="134" t="e">
        <f>G24+G25</f>
        <v>#REF!</v>
      </c>
      <c r="H23" s="134" t="e">
        <f>H24+H25</f>
        <v>#REF!</v>
      </c>
    </row>
    <row r="24" spans="1:8" ht="31.5" x14ac:dyDescent="0.25">
      <c r="A24" s="6" t="s">
        <v>148</v>
      </c>
      <c r="B24" s="6" t="s">
        <v>81</v>
      </c>
      <c r="C24" s="92" t="s">
        <v>891</v>
      </c>
      <c r="D24" s="93" t="s">
        <v>20</v>
      </c>
      <c r="E24" s="93" t="s">
        <v>18</v>
      </c>
      <c r="F24" s="135">
        <f>'Прил 5'!S473</f>
        <v>1607.6</v>
      </c>
      <c r="G24" s="135" t="e">
        <f>'[1]Прил 7'!#REF!</f>
        <v>#REF!</v>
      </c>
      <c r="H24" s="135" t="e">
        <f>'[1]Прил 7'!#REF!</f>
        <v>#REF!</v>
      </c>
    </row>
    <row r="25" spans="1:8" ht="31.5" x14ac:dyDescent="0.25">
      <c r="A25" s="6" t="s">
        <v>149</v>
      </c>
      <c r="B25" s="6" t="s">
        <v>83</v>
      </c>
      <c r="C25" s="92" t="s">
        <v>83</v>
      </c>
      <c r="D25" s="93" t="s">
        <v>20</v>
      </c>
      <c r="E25" s="93" t="s">
        <v>63</v>
      </c>
      <c r="F25" s="135">
        <f>'Прил 5'!S482</f>
        <v>819.8</v>
      </c>
      <c r="G25" s="94" t="e">
        <f>'[1]Прил 7'!#REF!</f>
        <v>#REF!</v>
      </c>
      <c r="H25" s="94" t="e">
        <f>'[1]Прил 7'!#REF!</f>
        <v>#REF!</v>
      </c>
    </row>
    <row r="26" spans="1:8" s="96" customFormat="1" x14ac:dyDescent="0.25">
      <c r="A26" s="5" t="s">
        <v>150</v>
      </c>
      <c r="B26" s="5" t="s">
        <v>72</v>
      </c>
      <c r="C26" s="89" t="s">
        <v>72</v>
      </c>
      <c r="D26" s="90" t="s">
        <v>25</v>
      </c>
      <c r="E26" s="90" t="s">
        <v>10</v>
      </c>
      <c r="F26" s="134">
        <f>SUM(F27:F31)</f>
        <v>166564.33000000002</v>
      </c>
      <c r="G26" s="134" t="e">
        <f>SUM(G28:G31)</f>
        <v>#REF!</v>
      </c>
      <c r="H26" s="134" t="e">
        <f>SUM(H28:H31)</f>
        <v>#REF!</v>
      </c>
    </row>
    <row r="27" spans="1:8" s="96" customFormat="1" x14ac:dyDescent="0.25">
      <c r="A27" s="5"/>
      <c r="B27" s="5"/>
      <c r="C27" s="78" t="s">
        <v>1038</v>
      </c>
      <c r="D27" s="93" t="s">
        <v>25</v>
      </c>
      <c r="E27" s="93" t="s">
        <v>14</v>
      </c>
      <c r="F27" s="135">
        <f>'Прил 5'!S22</f>
        <v>592</v>
      </c>
      <c r="G27" s="134"/>
      <c r="H27" s="134"/>
    </row>
    <row r="28" spans="1:8" x14ac:dyDescent="0.25">
      <c r="A28" s="6" t="s">
        <v>151</v>
      </c>
      <c r="B28" s="6" t="s">
        <v>111</v>
      </c>
      <c r="C28" s="92" t="s">
        <v>111</v>
      </c>
      <c r="D28" s="93" t="s">
        <v>25</v>
      </c>
      <c r="E28" s="93" t="s">
        <v>58</v>
      </c>
      <c r="F28" s="135">
        <f>'Прил 5'!S512</f>
        <v>191.58</v>
      </c>
      <c r="G28" s="135" t="e">
        <f>'[1]Прил 7'!#REF!</f>
        <v>#REF!</v>
      </c>
      <c r="H28" s="135" t="e">
        <f>'[1]Прил 7'!#REF!</f>
        <v>#REF!</v>
      </c>
    </row>
    <row r="29" spans="1:8" x14ac:dyDescent="0.25">
      <c r="C29" s="78" t="s">
        <v>518</v>
      </c>
      <c r="D29" s="93" t="s">
        <v>25</v>
      </c>
      <c r="E29" s="93" t="s">
        <v>12</v>
      </c>
      <c r="F29" s="135">
        <f>'Прил 5'!S527</f>
        <v>3695</v>
      </c>
      <c r="G29" s="94" t="e">
        <f>'[1]Прил 7'!#REF!</f>
        <v>#REF!</v>
      </c>
      <c r="H29" s="94" t="e">
        <f>'[1]Прил 7'!#REF!</f>
        <v>#REF!</v>
      </c>
    </row>
    <row r="30" spans="1:8" x14ac:dyDescent="0.25">
      <c r="A30" s="6" t="s">
        <v>152</v>
      </c>
      <c r="B30" s="6" t="s">
        <v>85</v>
      </c>
      <c r="C30" s="92" t="s">
        <v>85</v>
      </c>
      <c r="D30" s="93" t="s">
        <v>25</v>
      </c>
      <c r="E30" s="93" t="s">
        <v>44</v>
      </c>
      <c r="F30" s="135">
        <f>'Прил 5'!S540</f>
        <v>161352.85000000003</v>
      </c>
      <c r="G30" s="135" t="e">
        <f>'[1]Прил 7'!#REF!</f>
        <v>#REF!</v>
      </c>
      <c r="H30" s="135" t="e">
        <f>'[1]Прил 7'!#REF!</f>
        <v>#REF!</v>
      </c>
    </row>
    <row r="31" spans="1:8" x14ac:dyDescent="0.25">
      <c r="A31" s="6" t="s">
        <v>153</v>
      </c>
      <c r="B31" s="6" t="s">
        <v>73</v>
      </c>
      <c r="C31" s="92" t="s">
        <v>73</v>
      </c>
      <c r="D31" s="93" t="s">
        <v>25</v>
      </c>
      <c r="E31" s="93" t="s">
        <v>74</v>
      </c>
      <c r="F31" s="135">
        <f>'Прил 5'!S335+'Прил 5'!S593</f>
        <v>732.9</v>
      </c>
      <c r="G31" s="135" t="e">
        <f>'[1]Прил 7'!#REF!+'[1]Прил 7'!#REF!</f>
        <v>#REF!</v>
      </c>
      <c r="H31" s="135" t="e">
        <f>'[1]Прил 7'!#REF!+'[1]Прил 7'!#REF!</f>
        <v>#REF!</v>
      </c>
    </row>
    <row r="32" spans="1:8" s="96" customFormat="1" x14ac:dyDescent="0.25">
      <c r="A32" s="5"/>
      <c r="B32" s="5"/>
      <c r="C32" s="89" t="s">
        <v>351</v>
      </c>
      <c r="D32" s="90" t="s">
        <v>58</v>
      </c>
      <c r="E32" s="90" t="s">
        <v>10</v>
      </c>
      <c r="F32" s="134">
        <f>F33+F35+F36+F34</f>
        <v>19884.442999999999</v>
      </c>
      <c r="G32" s="134" t="e">
        <f>G33+G35+G36+G34</f>
        <v>#REF!</v>
      </c>
      <c r="H32" s="134" t="e">
        <f>H33+H35+H36+H34</f>
        <v>#REF!</v>
      </c>
    </row>
    <row r="33" spans="1:8" x14ac:dyDescent="0.25">
      <c r="C33" s="92" t="s">
        <v>582</v>
      </c>
      <c r="D33" s="93" t="s">
        <v>58</v>
      </c>
      <c r="E33" s="93" t="s">
        <v>14</v>
      </c>
      <c r="F33" s="135">
        <f>'Прил 5'!S619+'Прил 5'!S347+'Прил 5'!S241</f>
        <v>363</v>
      </c>
      <c r="G33" s="135" t="e">
        <f>'[1]Прил 7'!#REF!+'[1]Прил 7'!#REF!</f>
        <v>#REF!</v>
      </c>
      <c r="H33" s="135" t="e">
        <f>'[1]Прил 7'!#REF!+'[1]Прил 7'!#REF!</f>
        <v>#REF!</v>
      </c>
    </row>
    <row r="34" spans="1:8" x14ac:dyDescent="0.25">
      <c r="C34" s="89" t="s">
        <v>352</v>
      </c>
      <c r="D34" s="93" t="s">
        <v>58</v>
      </c>
      <c r="E34" s="93" t="s">
        <v>36</v>
      </c>
      <c r="F34" s="135">
        <f>'Прил 5'!S623</f>
        <v>9096.8610000000008</v>
      </c>
      <c r="G34" s="135" t="e">
        <f>'[1]Прил 7'!#REF!</f>
        <v>#REF!</v>
      </c>
      <c r="H34" s="135" t="e">
        <f>'[1]Прил 7'!#REF!</f>
        <v>#REF!</v>
      </c>
    </row>
    <row r="35" spans="1:8" x14ac:dyDescent="0.25">
      <c r="C35" s="92" t="s">
        <v>649</v>
      </c>
      <c r="D35" s="93" t="s">
        <v>58</v>
      </c>
      <c r="E35" s="93" t="s">
        <v>20</v>
      </c>
      <c r="F35" s="135">
        <f>'Прил 5'!S656</f>
        <v>3379.1270000000004</v>
      </c>
      <c r="G35" s="94" t="e">
        <f>'[1]Прил 7'!#REF!</f>
        <v>#REF!</v>
      </c>
      <c r="H35" s="94" t="e">
        <f>'[1]Прил 7'!#REF!</f>
        <v>#REF!</v>
      </c>
    </row>
    <row r="36" spans="1:8" x14ac:dyDescent="0.25">
      <c r="C36" s="92" t="s">
        <v>651</v>
      </c>
      <c r="D36" s="93" t="s">
        <v>58</v>
      </c>
      <c r="E36" s="93" t="s">
        <v>58</v>
      </c>
      <c r="F36" s="135">
        <f>'Прил 5'!S675</f>
        <v>7045.4549999999999</v>
      </c>
      <c r="G36" s="94" t="e">
        <f>'[1]Прил 7'!#REF!</f>
        <v>#REF!</v>
      </c>
      <c r="H36" s="94" t="e">
        <f>'[1]Прил 7'!#REF!</f>
        <v>#REF!</v>
      </c>
    </row>
    <row r="37" spans="1:8" s="96" customFormat="1" x14ac:dyDescent="0.25">
      <c r="A37" s="5" t="s">
        <v>154</v>
      </c>
      <c r="B37" s="5" t="s">
        <v>89</v>
      </c>
      <c r="C37" s="89" t="s">
        <v>89</v>
      </c>
      <c r="D37" s="90" t="s">
        <v>90</v>
      </c>
      <c r="E37" s="90" t="s">
        <v>10</v>
      </c>
      <c r="F37" s="134">
        <f>F38+F39+F40</f>
        <v>1000</v>
      </c>
      <c r="G37" s="91" t="e">
        <f>G38+G39</f>
        <v>#REF!</v>
      </c>
      <c r="H37" s="91" t="e">
        <f>H38+H39</f>
        <v>#REF!</v>
      </c>
    </row>
    <row r="38" spans="1:8" ht="15.6" hidden="1" x14ac:dyDescent="0.3">
      <c r="A38" s="6" t="s">
        <v>155</v>
      </c>
      <c r="B38" s="6" t="s">
        <v>91</v>
      </c>
      <c r="C38" s="92" t="s">
        <v>91</v>
      </c>
      <c r="D38" s="93" t="s">
        <v>90</v>
      </c>
      <c r="E38" s="93" t="s">
        <v>36</v>
      </c>
      <c r="F38" s="135">
        <f>'[1]Прил 7'!S511</f>
        <v>0</v>
      </c>
      <c r="G38" s="94" t="e">
        <f>'[1]Прил 7'!#REF!</f>
        <v>#REF!</v>
      </c>
      <c r="H38" s="94" t="e">
        <f>'[1]Прил 7'!#REF!</f>
        <v>#REF!</v>
      </c>
    </row>
    <row r="39" spans="1:8" ht="15.6" hidden="1" x14ac:dyDescent="0.3">
      <c r="A39" s="6" t="s">
        <v>156</v>
      </c>
      <c r="B39" s="6" t="s">
        <v>93</v>
      </c>
      <c r="C39" s="92" t="s">
        <v>93</v>
      </c>
      <c r="D39" s="93" t="s">
        <v>90</v>
      </c>
      <c r="E39" s="93" t="s">
        <v>20</v>
      </c>
      <c r="F39" s="135">
        <f>'Прил 5'!S697</f>
        <v>0</v>
      </c>
      <c r="G39" s="94" t="e">
        <f>'[1]Прил 7'!#REF!</f>
        <v>#REF!</v>
      </c>
      <c r="H39" s="94" t="e">
        <f>'[1]Прил 7'!#REF!</f>
        <v>#REF!</v>
      </c>
    </row>
    <row r="40" spans="1:8" x14ac:dyDescent="0.25">
      <c r="C40" s="92" t="s">
        <v>1090</v>
      </c>
      <c r="D40" s="93" t="s">
        <v>90</v>
      </c>
      <c r="E40" s="93" t="s">
        <v>58</v>
      </c>
      <c r="F40" s="135">
        <f>'Прил 5'!S702</f>
        <v>1000</v>
      </c>
      <c r="G40" s="94"/>
      <c r="H40" s="94"/>
    </row>
    <row r="41" spans="1:8" s="96" customFormat="1" x14ac:dyDescent="0.25">
      <c r="A41" s="5" t="s">
        <v>157</v>
      </c>
      <c r="B41" s="5" t="s">
        <v>30</v>
      </c>
      <c r="C41" s="89" t="s">
        <v>30</v>
      </c>
      <c r="D41" s="90" t="s">
        <v>31</v>
      </c>
      <c r="E41" s="90" t="s">
        <v>10</v>
      </c>
      <c r="F41" s="134">
        <f>SUM(F42:F47)</f>
        <v>447509.97799999989</v>
      </c>
      <c r="G41" s="134" t="e">
        <f>SUM(G42:G47)</f>
        <v>#REF!</v>
      </c>
      <c r="H41" s="134" t="e">
        <f>SUM(H42:H47)</f>
        <v>#REF!</v>
      </c>
    </row>
    <row r="42" spans="1:8" x14ac:dyDescent="0.25">
      <c r="A42" s="6" t="s">
        <v>158</v>
      </c>
      <c r="B42" s="6" t="s">
        <v>32</v>
      </c>
      <c r="C42" s="92" t="s">
        <v>32</v>
      </c>
      <c r="D42" s="93" t="s">
        <v>31</v>
      </c>
      <c r="E42" s="93" t="s">
        <v>14</v>
      </c>
      <c r="F42" s="135">
        <f>'Прил 5'!S27</f>
        <v>94130.813999999998</v>
      </c>
      <c r="G42" s="135" t="e">
        <f>'[1]Прил 7'!#REF!</f>
        <v>#REF!</v>
      </c>
      <c r="H42" s="135" t="e">
        <f>'[1]Прил 7'!#REF!</f>
        <v>#REF!</v>
      </c>
    </row>
    <row r="43" spans="1:8" x14ac:dyDescent="0.25">
      <c r="A43" s="6" t="s">
        <v>159</v>
      </c>
      <c r="B43" s="6" t="s">
        <v>35</v>
      </c>
      <c r="C43" s="92" t="s">
        <v>35</v>
      </c>
      <c r="D43" s="93" t="s">
        <v>31</v>
      </c>
      <c r="E43" s="93" t="s">
        <v>36</v>
      </c>
      <c r="F43" s="135">
        <f>'Прил 5'!S53</f>
        <v>296488.69899999991</v>
      </c>
      <c r="G43" s="135" t="e">
        <f>'[1]Прил 7'!#REF!</f>
        <v>#REF!</v>
      </c>
      <c r="H43" s="135" t="e">
        <f>'[1]Прил 7'!#REF!</f>
        <v>#REF!</v>
      </c>
    </row>
    <row r="44" spans="1:8" x14ac:dyDescent="0.25">
      <c r="A44" s="6" t="s">
        <v>160</v>
      </c>
      <c r="B44" s="6" t="s">
        <v>57</v>
      </c>
      <c r="C44" s="92" t="s">
        <v>516</v>
      </c>
      <c r="D44" s="93" t="s">
        <v>31</v>
      </c>
      <c r="E44" s="93" t="s">
        <v>20</v>
      </c>
      <c r="F44" s="135">
        <f>'Прил 5'!S119+'Прил 5'!S712</f>
        <v>43763.181999999986</v>
      </c>
      <c r="G44" s="135" t="e">
        <f>'[1]Прил 7'!#REF!</f>
        <v>#REF!</v>
      </c>
      <c r="H44" s="135" t="e">
        <f>'[1]Прил 7'!#REF!</f>
        <v>#REF!</v>
      </c>
    </row>
    <row r="45" spans="1:8" x14ac:dyDescent="0.25">
      <c r="C45" s="92" t="s">
        <v>57</v>
      </c>
      <c r="D45" s="93" t="s">
        <v>31</v>
      </c>
      <c r="E45" s="93" t="s">
        <v>58</v>
      </c>
      <c r="F45" s="135">
        <f>'Прил 5'!S720+'Прил 5'!S359</f>
        <v>73.599999999999994</v>
      </c>
      <c r="G45" s="135"/>
      <c r="H45" s="135"/>
    </row>
    <row r="46" spans="1:8" x14ac:dyDescent="0.25">
      <c r="A46" s="6" t="s">
        <v>161</v>
      </c>
      <c r="B46" s="6" t="s">
        <v>40</v>
      </c>
      <c r="C46" s="92" t="s">
        <v>40</v>
      </c>
      <c r="D46" s="93" t="s">
        <v>31</v>
      </c>
      <c r="E46" s="93" t="s">
        <v>31</v>
      </c>
      <c r="F46" s="135">
        <f>'Прил 5'!S144+'Прил 5'!S727</f>
        <v>99</v>
      </c>
      <c r="G46" s="135" t="e">
        <f>'[1]Прил 7'!#REF!+'[1]Прил 7'!#REF!</f>
        <v>#REF!</v>
      </c>
      <c r="H46" s="135" t="e">
        <f>'[1]Прил 7'!#REF!+'[1]Прил 7'!#REF!</f>
        <v>#REF!</v>
      </c>
    </row>
    <row r="47" spans="1:8" x14ac:dyDescent="0.25">
      <c r="A47" s="6" t="s">
        <v>162</v>
      </c>
      <c r="B47" s="6" t="s">
        <v>43</v>
      </c>
      <c r="C47" s="92" t="s">
        <v>43</v>
      </c>
      <c r="D47" s="93" t="s">
        <v>31</v>
      </c>
      <c r="E47" s="93" t="s">
        <v>44</v>
      </c>
      <c r="F47" s="135">
        <f>'Прил 5'!S151</f>
        <v>12954.682999999999</v>
      </c>
      <c r="G47" s="135" t="e">
        <f>'[1]Прил 7'!#REF!</f>
        <v>#REF!</v>
      </c>
      <c r="H47" s="135" t="e">
        <f>'[1]Прил 7'!#REF!</f>
        <v>#REF!</v>
      </c>
    </row>
    <row r="48" spans="1:8" s="96" customFormat="1" x14ac:dyDescent="0.25">
      <c r="A48" s="5" t="s">
        <v>163</v>
      </c>
      <c r="B48" s="5" t="s">
        <v>11</v>
      </c>
      <c r="C48" s="89" t="s">
        <v>11</v>
      </c>
      <c r="D48" s="90" t="s">
        <v>12</v>
      </c>
      <c r="E48" s="90" t="s">
        <v>10</v>
      </c>
      <c r="F48" s="134">
        <f>F49</f>
        <v>61045.780999999995</v>
      </c>
      <c r="G48" s="134" t="e">
        <f>G49</f>
        <v>#REF!</v>
      </c>
      <c r="H48" s="134" t="e">
        <f>H49</f>
        <v>#REF!</v>
      </c>
    </row>
    <row r="49" spans="1:8" x14ac:dyDescent="0.25">
      <c r="A49" s="6" t="s">
        <v>164</v>
      </c>
      <c r="B49" s="6" t="s">
        <v>13</v>
      </c>
      <c r="C49" s="92" t="s">
        <v>13</v>
      </c>
      <c r="D49" s="93" t="s">
        <v>12</v>
      </c>
      <c r="E49" s="93" t="s">
        <v>14</v>
      </c>
      <c r="F49" s="135">
        <f>'Прил 5'!S735+'Прил 5'!S254</f>
        <v>61045.780999999995</v>
      </c>
      <c r="G49" s="135" t="e">
        <f>'[1]Прил 7'!#REF!+'[1]Прил 7'!#REF!</f>
        <v>#REF!</v>
      </c>
      <c r="H49" s="135" t="e">
        <f>'[1]Прил 7'!#REF!+'[1]Прил 7'!#REF!</f>
        <v>#REF!</v>
      </c>
    </row>
    <row r="50" spans="1:8" s="96" customFormat="1" x14ac:dyDescent="0.25">
      <c r="A50" s="5" t="s">
        <v>165</v>
      </c>
      <c r="B50" s="5" t="s">
        <v>17</v>
      </c>
      <c r="C50" s="89" t="s">
        <v>17</v>
      </c>
      <c r="D50" s="90" t="s">
        <v>18</v>
      </c>
      <c r="E50" s="90" t="s">
        <v>10</v>
      </c>
      <c r="F50" s="134">
        <f>F51+F52+F53+F54</f>
        <v>35068.766899999995</v>
      </c>
      <c r="G50" s="134" t="e">
        <f>G51+G52+G53</f>
        <v>#REF!</v>
      </c>
      <c r="H50" s="134" t="e">
        <f>H51+H52+H53</f>
        <v>#REF!</v>
      </c>
    </row>
    <row r="51" spans="1:8" x14ac:dyDescent="0.25">
      <c r="A51" s="6" t="s">
        <v>166</v>
      </c>
      <c r="B51" s="6" t="s">
        <v>95</v>
      </c>
      <c r="C51" s="92" t="s">
        <v>95</v>
      </c>
      <c r="D51" s="93" t="s">
        <v>18</v>
      </c>
      <c r="E51" s="93" t="s">
        <v>14</v>
      </c>
      <c r="F51" s="135">
        <f>'Прил 5'!S776</f>
        <v>2128.8000000000002</v>
      </c>
      <c r="G51" s="135" t="e">
        <f>'[1]Прил 7'!#REF!</f>
        <v>#REF!</v>
      </c>
      <c r="H51" s="135" t="e">
        <f>'[1]Прил 7'!#REF!</f>
        <v>#REF!</v>
      </c>
    </row>
    <row r="52" spans="1:8" x14ac:dyDescent="0.25">
      <c r="A52" s="6" t="s">
        <v>167</v>
      </c>
      <c r="B52" s="6" t="s">
        <v>19</v>
      </c>
      <c r="C52" s="92" t="s">
        <v>19</v>
      </c>
      <c r="D52" s="93" t="s">
        <v>18</v>
      </c>
      <c r="E52" s="93" t="s">
        <v>20</v>
      </c>
      <c r="F52" s="135">
        <f>'Прил 5'!S170+'Прил 5'!S781</f>
        <v>9752.9999999999982</v>
      </c>
      <c r="G52" s="135" t="e">
        <f>'[1]Прил 7'!#REF!+'[1]Прил 7'!#REF!</f>
        <v>#REF!</v>
      </c>
      <c r="H52" s="135" t="e">
        <f>'[1]Прил 7'!#REF!+'[1]Прил 7'!#REF!</f>
        <v>#REF!</v>
      </c>
    </row>
    <row r="53" spans="1:8" x14ac:dyDescent="0.25">
      <c r="A53" s="6" t="s">
        <v>168</v>
      </c>
      <c r="B53" s="6" t="s">
        <v>47</v>
      </c>
      <c r="C53" s="92" t="s">
        <v>47</v>
      </c>
      <c r="D53" s="93" t="s">
        <v>18</v>
      </c>
      <c r="E53" s="93" t="s">
        <v>25</v>
      </c>
      <c r="F53" s="135">
        <f>'Прил 5'!S176+'Прил 5'!S793+'Прил 5'!S367+'Прил 5'!S260</f>
        <v>22637.412499999999</v>
      </c>
      <c r="G53" s="135" t="e">
        <f>'[1]Прил 7'!#REF!+'[1]Прил 7'!#REF!+'[1]Прил 7'!#REF!+'[1]Прил 7'!#REF!</f>
        <v>#REF!</v>
      </c>
      <c r="H53" s="135" t="e">
        <f>'[1]Прил 7'!#REF!+'[1]Прил 7'!#REF!+'[1]Прил 7'!#REF!+'[1]Прил 7'!#REF!</f>
        <v>#REF!</v>
      </c>
    </row>
    <row r="54" spans="1:8" x14ac:dyDescent="0.25">
      <c r="C54" s="92" t="s">
        <v>1063</v>
      </c>
      <c r="D54" s="93" t="s">
        <v>18</v>
      </c>
      <c r="E54" s="93" t="s">
        <v>90</v>
      </c>
      <c r="F54" s="135">
        <f>'Прил 5'!S830</f>
        <v>549.5544000000001</v>
      </c>
      <c r="G54" s="135"/>
      <c r="H54" s="135"/>
    </row>
    <row r="55" spans="1:8" s="96" customFormat="1" x14ac:dyDescent="0.25">
      <c r="A55" s="5" t="s">
        <v>169</v>
      </c>
      <c r="B55" s="5" t="s">
        <v>97</v>
      </c>
      <c r="C55" s="89" t="s">
        <v>97</v>
      </c>
      <c r="D55" s="90" t="s">
        <v>51</v>
      </c>
      <c r="E55" s="90" t="s">
        <v>10</v>
      </c>
      <c r="F55" s="134">
        <f>F56+F57</f>
        <v>15488.4</v>
      </c>
      <c r="G55" s="134" t="e">
        <f>G56</f>
        <v>#REF!</v>
      </c>
      <c r="H55" s="134" t="e">
        <f>H56</f>
        <v>#REF!</v>
      </c>
    </row>
    <row r="56" spans="1:8" x14ac:dyDescent="0.25">
      <c r="A56" s="6" t="s">
        <v>170</v>
      </c>
      <c r="B56" s="6" t="s">
        <v>98</v>
      </c>
      <c r="C56" s="92" t="s">
        <v>98</v>
      </c>
      <c r="D56" s="93" t="s">
        <v>51</v>
      </c>
      <c r="E56" s="93" t="s">
        <v>36</v>
      </c>
      <c r="F56" s="135">
        <f>'Прил 5'!S265+'Прил 5'!S835+'Прил 5'!S191</f>
        <v>1036</v>
      </c>
      <c r="G56" s="135" t="e">
        <f>'[1]Прил 7'!#REF!+'[1]Прил 7'!#REF!</f>
        <v>#REF!</v>
      </c>
      <c r="H56" s="135" t="e">
        <f>'[1]Прил 7'!#REF!+'[1]Прил 7'!#REF!</f>
        <v>#REF!</v>
      </c>
    </row>
    <row r="57" spans="1:8" x14ac:dyDescent="0.25">
      <c r="C57" s="92" t="s">
        <v>996</v>
      </c>
      <c r="D57" s="93" t="s">
        <v>51</v>
      </c>
      <c r="E57" s="93" t="s">
        <v>20</v>
      </c>
      <c r="F57" s="135">
        <f>'Прил 5'!S857</f>
        <v>14452.4</v>
      </c>
      <c r="G57" s="135"/>
      <c r="H57" s="135"/>
    </row>
    <row r="58" spans="1:8" s="96" customFormat="1" x14ac:dyDescent="0.25">
      <c r="A58" s="5" t="s">
        <v>171</v>
      </c>
      <c r="B58" s="5" t="s">
        <v>59</v>
      </c>
      <c r="C58" s="89" t="s">
        <v>59</v>
      </c>
      <c r="D58" s="90" t="s">
        <v>28</v>
      </c>
      <c r="E58" s="90" t="s">
        <v>10</v>
      </c>
      <c r="F58" s="134">
        <f>F59</f>
        <v>3700</v>
      </c>
      <c r="G58" s="134" t="e">
        <f>G59</f>
        <v>#REF!</v>
      </c>
      <c r="H58" s="134" t="e">
        <f>H59</f>
        <v>#REF!</v>
      </c>
    </row>
    <row r="59" spans="1:8" x14ac:dyDescent="0.25">
      <c r="A59" s="6" t="s">
        <v>172</v>
      </c>
      <c r="B59" s="6" t="s">
        <v>173</v>
      </c>
      <c r="C59" s="92" t="s">
        <v>173</v>
      </c>
      <c r="D59" s="93" t="s">
        <v>28</v>
      </c>
      <c r="E59" s="93" t="s">
        <v>14</v>
      </c>
      <c r="F59" s="135">
        <f>'Прил 5'!S269+'Прил 5'!S873</f>
        <v>3700</v>
      </c>
      <c r="G59" s="135" t="e">
        <f>'[1]Прил 7'!#REF!</f>
        <v>#REF!</v>
      </c>
      <c r="H59" s="135" t="e">
        <f>'[1]Прил 7'!#REF!</f>
        <v>#REF!</v>
      </c>
    </row>
    <row r="60" spans="1:8" s="96" customFormat="1" ht="31.5" x14ac:dyDescent="0.25">
      <c r="A60" s="5" t="s">
        <v>174</v>
      </c>
      <c r="B60" s="5" t="s">
        <v>175</v>
      </c>
      <c r="C60" s="89" t="s">
        <v>175</v>
      </c>
      <c r="D60" s="90" t="s">
        <v>63</v>
      </c>
      <c r="E60" s="90" t="s">
        <v>10</v>
      </c>
      <c r="F60" s="134">
        <f>F61+F62</f>
        <v>49215</v>
      </c>
      <c r="G60" s="134" t="e">
        <f>G61+G62</f>
        <v>#REF!</v>
      </c>
      <c r="H60" s="134" t="e">
        <f>H61+H62</f>
        <v>#REF!</v>
      </c>
    </row>
    <row r="61" spans="1:8" ht="31.5" x14ac:dyDescent="0.25">
      <c r="A61" s="6" t="s">
        <v>176</v>
      </c>
      <c r="B61" s="6" t="s">
        <v>177</v>
      </c>
      <c r="C61" s="92" t="s">
        <v>177</v>
      </c>
      <c r="D61" s="93" t="s">
        <v>63</v>
      </c>
      <c r="E61" s="93" t="s">
        <v>14</v>
      </c>
      <c r="F61" s="135">
        <f>'Прил 5'!S275</f>
        <v>5700</v>
      </c>
      <c r="G61" s="135" t="e">
        <f>'[1]Прил 7'!#REF!</f>
        <v>#REF!</v>
      </c>
      <c r="H61" s="135" t="e">
        <f>'[1]Прил 7'!#REF!</f>
        <v>#REF!</v>
      </c>
    </row>
    <row r="62" spans="1:8" x14ac:dyDescent="0.25">
      <c r="A62" s="6" t="s">
        <v>178</v>
      </c>
      <c r="B62" s="6" t="s">
        <v>67</v>
      </c>
      <c r="C62" s="92" t="s">
        <v>67</v>
      </c>
      <c r="D62" s="93" t="s">
        <v>63</v>
      </c>
      <c r="E62" s="93" t="s">
        <v>20</v>
      </c>
      <c r="F62" s="135">
        <f>'Прил 5'!S282</f>
        <v>43515</v>
      </c>
      <c r="G62" s="135" t="e">
        <f>'[1]Прил 7'!#REF!</f>
        <v>#REF!</v>
      </c>
      <c r="H62" s="135" t="e">
        <f>'[1]Прил 7'!#REF!</f>
        <v>#REF!</v>
      </c>
    </row>
    <row r="64" spans="1:8" x14ac:dyDescent="0.25">
      <c r="C64" s="702"/>
      <c r="D64" s="702"/>
      <c r="E64" s="702"/>
      <c r="F64" s="703"/>
    </row>
    <row r="71" spans="1:1" x14ac:dyDescent="0.25">
      <c r="A71" s="6" t="s">
        <v>207</v>
      </c>
    </row>
  </sheetData>
  <autoFilter ref="A9:F62">
    <filterColumn colId="5">
      <filters>
        <filter val="1 000,0"/>
        <filter val="1 036,0"/>
        <filter val="1 427,3"/>
        <filter val="1 479,3"/>
        <filter val="1 607,6"/>
        <filter val="100,0"/>
        <filter val="12 954,7"/>
        <filter val="14 452,4"/>
        <filter val="15 488,4"/>
        <filter val="161 352,9"/>
        <filter val="166 564,3"/>
        <filter val="19 884,4"/>
        <filter val="191,6"/>
        <filter val="2 128,8"/>
        <filter val="2 427,4"/>
        <filter val="22 637,4"/>
        <filter val="296 488,7"/>
        <filter val="3 379,1"/>
        <filter val="3 695,0"/>
        <filter val="3 700,0"/>
        <filter val="300,0"/>
        <filter val="35 068,8"/>
        <filter val="363,0"/>
        <filter val="37 844,0"/>
        <filter val="39 712,3"/>
        <filter val="401,6"/>
        <filter val="43 515,0"/>
        <filter val="43 763,2"/>
        <filter val="447 510,0"/>
        <filter val="49 215,0"/>
        <filter val="5 700,0"/>
        <filter val="5,3"/>
        <filter val="549,6"/>
        <filter val="592,0"/>
        <filter val="61 045,8"/>
        <filter val="7 045,5"/>
        <filter val="73,6"/>
        <filter val="732,9"/>
        <filter val="81 269,8"/>
        <filter val="819,8"/>
        <filter val="883 173,9"/>
        <filter val="9 096,9"/>
        <filter val="9 753,0"/>
        <filter val="94 130,8"/>
        <filter val="99,0"/>
      </filters>
    </filterColumn>
  </autoFilter>
  <mergeCells count="9">
    <mergeCell ref="G9:H9"/>
    <mergeCell ref="C64:F64"/>
    <mergeCell ref="E4:F4"/>
    <mergeCell ref="C6:F6"/>
    <mergeCell ref="C7:F7"/>
    <mergeCell ref="C9:C10"/>
    <mergeCell ref="D9:D10"/>
    <mergeCell ref="E9:E10"/>
    <mergeCell ref="F9:F10"/>
  </mergeCells>
  <pageMargins left="0.70866141732283472" right="0.70866141732283472" top="0.55118110236220474" bottom="0.43307086614173229" header="0.31496062992125984" footer="0.31496062992125984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F567"/>
  <sheetViews>
    <sheetView view="pageBreakPreview" zoomScaleNormal="80" zoomScaleSheetLayoutView="100" workbookViewId="0">
      <selection activeCell="D4" sqref="D4"/>
    </sheetView>
  </sheetViews>
  <sheetFormatPr defaultColWidth="9.140625" defaultRowHeight="15.75" x14ac:dyDescent="0.25"/>
  <cols>
    <col min="1" max="1" width="87.85546875" style="58" customWidth="1"/>
    <col min="2" max="2" width="17.7109375" style="69" customWidth="1"/>
    <col min="3" max="3" width="12.7109375" style="58" customWidth="1"/>
    <col min="4" max="4" width="20.7109375" style="198" customWidth="1"/>
    <col min="5" max="6" width="20.7109375" style="70" hidden="1" customWidth="1"/>
    <col min="7" max="16384" width="9.140625" style="8"/>
  </cols>
  <sheetData>
    <row r="1" spans="1:6" x14ac:dyDescent="0.25">
      <c r="D1" s="378" t="s">
        <v>0</v>
      </c>
      <c r="E1" s="57"/>
      <c r="F1" s="57"/>
    </row>
    <row r="2" spans="1:6" x14ac:dyDescent="0.25">
      <c r="D2" s="378" t="s">
        <v>587</v>
      </c>
      <c r="E2" s="57"/>
      <c r="F2" s="57"/>
    </row>
    <row r="3" spans="1:6" x14ac:dyDescent="0.25">
      <c r="D3" s="378" t="s">
        <v>2</v>
      </c>
      <c r="E3" s="57"/>
      <c r="F3" s="57"/>
    </row>
    <row r="4" spans="1:6" x14ac:dyDescent="0.25">
      <c r="D4" s="505" t="s">
        <v>1272</v>
      </c>
      <c r="E4" s="57"/>
      <c r="F4" s="57"/>
    </row>
    <row r="5" spans="1:6" ht="15.6" x14ac:dyDescent="0.3">
      <c r="C5" s="68"/>
    </row>
    <row r="6" spans="1:6" x14ac:dyDescent="0.25">
      <c r="A6" s="705" t="s">
        <v>134</v>
      </c>
      <c r="B6" s="705"/>
      <c r="C6" s="705"/>
      <c r="D6" s="706"/>
      <c r="E6" s="69"/>
      <c r="F6" s="69"/>
    </row>
    <row r="7" spans="1:6" ht="31.5" customHeight="1" x14ac:dyDescent="0.25">
      <c r="A7" s="718" t="s">
        <v>1072</v>
      </c>
      <c r="B7" s="718"/>
      <c r="C7" s="718"/>
      <c r="D7" s="719"/>
      <c r="E7" s="102"/>
      <c r="F7" s="102"/>
    </row>
    <row r="8" spans="1:6" ht="15.6" x14ac:dyDescent="0.3">
      <c r="A8" s="97"/>
      <c r="B8" s="98"/>
      <c r="C8" s="97"/>
      <c r="D8" s="261"/>
    </row>
    <row r="9" spans="1:6" s="73" customFormat="1" x14ac:dyDescent="0.25">
      <c r="A9" s="720" t="s">
        <v>3</v>
      </c>
      <c r="B9" s="722" t="s">
        <v>562</v>
      </c>
      <c r="C9" s="723"/>
      <c r="D9" s="724" t="s">
        <v>1000</v>
      </c>
      <c r="E9" s="715" t="s">
        <v>363</v>
      </c>
      <c r="F9" s="715"/>
    </row>
    <row r="10" spans="1:6" s="73" customFormat="1" ht="31.5" x14ac:dyDescent="0.25">
      <c r="A10" s="721"/>
      <c r="B10" s="72" t="s">
        <v>7</v>
      </c>
      <c r="C10" s="72" t="s">
        <v>1001</v>
      </c>
      <c r="D10" s="724"/>
      <c r="E10" s="128" t="s">
        <v>683</v>
      </c>
      <c r="F10" s="128" t="s">
        <v>709</v>
      </c>
    </row>
    <row r="11" spans="1:6" s="73" customFormat="1" ht="15.6" x14ac:dyDescent="0.3">
      <c r="A11" s="188">
        <v>1</v>
      </c>
      <c r="B11" s="72" t="s">
        <v>136</v>
      </c>
      <c r="C11" s="72" t="s">
        <v>563</v>
      </c>
      <c r="D11" s="169">
        <v>4</v>
      </c>
      <c r="E11" s="9">
        <v>4</v>
      </c>
      <c r="F11" s="9">
        <v>5</v>
      </c>
    </row>
    <row r="12" spans="1:6" s="77" customFormat="1" x14ac:dyDescent="0.25">
      <c r="A12" s="74" t="s">
        <v>8</v>
      </c>
      <c r="B12" s="75" t="s">
        <v>365</v>
      </c>
      <c r="C12" s="75" t="s">
        <v>9</v>
      </c>
      <c r="D12" s="131">
        <f>D13+D127+D186+D211+D250+D553</f>
        <v>883173.85100000002</v>
      </c>
      <c r="E12" s="131" t="e">
        <f>E13+E127+E186+E211+E250+E535</f>
        <v>#REF!</v>
      </c>
      <c r="F12" s="131" t="e">
        <f>F13+F127+F186+F211+F250+F535</f>
        <v>#REF!</v>
      </c>
    </row>
    <row r="13" spans="1:6" s="77" customFormat="1" x14ac:dyDescent="0.25">
      <c r="A13" s="78" t="s">
        <v>783</v>
      </c>
      <c r="B13" s="79" t="s">
        <v>366</v>
      </c>
      <c r="C13" s="79" t="s">
        <v>9</v>
      </c>
      <c r="D13" s="132">
        <f>D125+D14+D23+D35+D46+D57+D60+D71+D80+D117+D119+D97+D123+D121+D63</f>
        <v>436352.37800000003</v>
      </c>
      <c r="E13" s="132" t="e">
        <f>E14+E23+E35+E46+E57+E60+E71+E80+E117+E119+E108+E112</f>
        <v>#REF!</v>
      </c>
      <c r="F13" s="132" t="e">
        <f>F14+F23+F35+F46+F57+F60+F71+F80+F117+F119+F108+F112</f>
        <v>#REF!</v>
      </c>
    </row>
    <row r="14" spans="1:6" s="77" customFormat="1" x14ac:dyDescent="0.25">
      <c r="A14" s="78" t="s">
        <v>573</v>
      </c>
      <c r="B14" s="79" t="s">
        <v>375</v>
      </c>
      <c r="C14" s="79" t="s">
        <v>9</v>
      </c>
      <c r="D14" s="132">
        <f>D15+D19</f>
        <v>79336.701000000001</v>
      </c>
      <c r="E14" s="132" t="e">
        <f>E15+E19</f>
        <v>#REF!</v>
      </c>
      <c r="F14" s="132" t="e">
        <f>F15+F19</f>
        <v>#REF!</v>
      </c>
    </row>
    <row r="15" spans="1:6" s="77" customFormat="1" x14ac:dyDescent="0.25">
      <c r="A15" s="78" t="s">
        <v>37</v>
      </c>
      <c r="B15" s="79" t="s">
        <v>374</v>
      </c>
      <c r="C15" s="79" t="s">
        <v>9</v>
      </c>
      <c r="D15" s="132">
        <f>D16+D17+D18</f>
        <v>42871.217000000004</v>
      </c>
      <c r="E15" s="132" t="e">
        <f>E16+E17+E18</f>
        <v>#REF!</v>
      </c>
      <c r="F15" s="132" t="e">
        <f>F16+F17+F18</f>
        <v>#REF!</v>
      </c>
    </row>
    <row r="16" spans="1:6" s="80" customFormat="1" ht="47.25" x14ac:dyDescent="0.25">
      <c r="A16" s="74" t="s">
        <v>115</v>
      </c>
      <c r="B16" s="75" t="s">
        <v>374</v>
      </c>
      <c r="C16" s="75" t="s">
        <v>113</v>
      </c>
      <c r="D16" s="131">
        <f>'Прил 5'!S57</f>
        <v>2730</v>
      </c>
      <c r="E16" s="131" t="e">
        <f>'Прил 5'!#REF!</f>
        <v>#REF!</v>
      </c>
      <c r="F16" s="131" t="e">
        <f>'Прил 5'!#REF!</f>
        <v>#REF!</v>
      </c>
    </row>
    <row r="17" spans="1:6" s="80" customFormat="1" x14ac:dyDescent="0.25">
      <c r="A17" s="74" t="s">
        <v>124</v>
      </c>
      <c r="B17" s="75" t="s">
        <v>374</v>
      </c>
      <c r="C17" s="75" t="s">
        <v>117</v>
      </c>
      <c r="D17" s="131">
        <f>'Прил 5'!S58</f>
        <v>39166.489910000004</v>
      </c>
      <c r="E17" s="131" t="e">
        <f>'Прил 5'!#REF!</f>
        <v>#REF!</v>
      </c>
      <c r="F17" s="131" t="e">
        <f>'Прил 5'!#REF!</f>
        <v>#REF!</v>
      </c>
    </row>
    <row r="18" spans="1:6" s="77" customFormat="1" x14ac:dyDescent="0.25">
      <c r="A18" s="74" t="s">
        <v>116</v>
      </c>
      <c r="B18" s="75" t="s">
        <v>374</v>
      </c>
      <c r="C18" s="75" t="s">
        <v>114</v>
      </c>
      <c r="D18" s="131">
        <f>'Прил 5'!S59</f>
        <v>974.72709000000009</v>
      </c>
      <c r="E18" s="131" t="e">
        <f>'Прил 5'!#REF!</f>
        <v>#REF!</v>
      </c>
      <c r="F18" s="131" t="e">
        <f>'Прил 5'!#REF!</f>
        <v>#REF!</v>
      </c>
    </row>
    <row r="19" spans="1:6" s="77" customFormat="1" x14ac:dyDescent="0.25">
      <c r="A19" s="78" t="s">
        <v>37</v>
      </c>
      <c r="B19" s="79" t="s">
        <v>507</v>
      </c>
      <c r="C19" s="79" t="s">
        <v>9</v>
      </c>
      <c r="D19" s="132">
        <f>D20+D21+D22</f>
        <v>36465.483999999997</v>
      </c>
      <c r="E19" s="132" t="e">
        <f>E20+E21+E22</f>
        <v>#REF!</v>
      </c>
      <c r="F19" s="132" t="e">
        <f>F20+F21+F22</f>
        <v>#REF!</v>
      </c>
    </row>
    <row r="20" spans="1:6" s="80" customFormat="1" ht="47.25" x14ac:dyDescent="0.25">
      <c r="A20" s="74" t="s">
        <v>115</v>
      </c>
      <c r="B20" s="75" t="s">
        <v>507</v>
      </c>
      <c r="C20" s="75" t="s">
        <v>113</v>
      </c>
      <c r="D20" s="131">
        <f>'Прил 5'!S61</f>
        <v>10664.2</v>
      </c>
      <c r="E20" s="131" t="e">
        <f>'Прил 5'!#REF!</f>
        <v>#REF!</v>
      </c>
      <c r="F20" s="131" t="e">
        <f>'Прил 5'!#REF!</f>
        <v>#REF!</v>
      </c>
    </row>
    <row r="21" spans="1:6" s="80" customFormat="1" x14ac:dyDescent="0.25">
      <c r="A21" s="74" t="s">
        <v>124</v>
      </c>
      <c r="B21" s="75" t="s">
        <v>507</v>
      </c>
      <c r="C21" s="75" t="s">
        <v>117</v>
      </c>
      <c r="D21" s="131">
        <f>'Прил 5'!S62</f>
        <v>24898</v>
      </c>
      <c r="E21" s="131" t="e">
        <f>'Прил 5'!#REF!</f>
        <v>#REF!</v>
      </c>
      <c r="F21" s="131" t="e">
        <f>'Прил 5'!#REF!</f>
        <v>#REF!</v>
      </c>
    </row>
    <row r="22" spans="1:6" s="80" customFormat="1" x14ac:dyDescent="0.25">
      <c r="A22" s="74" t="s">
        <v>116</v>
      </c>
      <c r="B22" s="75" t="s">
        <v>507</v>
      </c>
      <c r="C22" s="75" t="s">
        <v>114</v>
      </c>
      <c r="D22" s="131">
        <f>'Прил 5'!S63</f>
        <v>903.28399999999999</v>
      </c>
      <c r="E22" s="131" t="e">
        <f>'Прил 5'!#REF!</f>
        <v>#REF!</v>
      </c>
      <c r="F22" s="131" t="e">
        <f>'Прил 5'!#REF!</f>
        <v>#REF!</v>
      </c>
    </row>
    <row r="23" spans="1:6" s="80" customFormat="1" x14ac:dyDescent="0.25">
      <c r="A23" s="78" t="s">
        <v>788</v>
      </c>
      <c r="B23" s="79" t="s">
        <v>370</v>
      </c>
      <c r="C23" s="79" t="s">
        <v>9</v>
      </c>
      <c r="D23" s="132">
        <f>D24+D28+D33</f>
        <v>57939.913999999997</v>
      </c>
      <c r="E23" s="132" t="e">
        <f>E24+E28+E33</f>
        <v>#REF!</v>
      </c>
      <c r="F23" s="132" t="e">
        <f>F24+F28+F33</f>
        <v>#REF!</v>
      </c>
    </row>
    <row r="24" spans="1:6" s="77" customFormat="1" x14ac:dyDescent="0.25">
      <c r="A24" s="78" t="s">
        <v>179</v>
      </c>
      <c r="B24" s="79" t="s">
        <v>371</v>
      </c>
      <c r="C24" s="79" t="s">
        <v>9</v>
      </c>
      <c r="D24" s="132">
        <f>D26+D27+D25</f>
        <v>27633.498</v>
      </c>
      <c r="E24" s="132" t="e">
        <f>E26+E27+E25</f>
        <v>#REF!</v>
      </c>
      <c r="F24" s="132" t="e">
        <f>F26+F27+F25</f>
        <v>#REF!</v>
      </c>
    </row>
    <row r="25" spans="1:6" s="77" customFormat="1" ht="47.25" x14ac:dyDescent="0.25">
      <c r="A25" s="74" t="s">
        <v>115</v>
      </c>
      <c r="B25" s="75" t="s">
        <v>371</v>
      </c>
      <c r="C25" s="75" t="s">
        <v>113</v>
      </c>
      <c r="D25" s="131">
        <f>'Прил 5'!S31+'Прил 5'!S179</f>
        <v>7650.5</v>
      </c>
      <c r="E25" s="131" t="e">
        <f>'Прил 5'!#REF!</f>
        <v>#REF!</v>
      </c>
      <c r="F25" s="131" t="e">
        <f>'Прил 5'!#REF!</f>
        <v>#REF!</v>
      </c>
    </row>
    <row r="26" spans="1:6" s="80" customFormat="1" x14ac:dyDescent="0.25">
      <c r="A26" s="74" t="s">
        <v>124</v>
      </c>
      <c r="B26" s="75" t="s">
        <v>371</v>
      </c>
      <c r="C26" s="75" t="s">
        <v>117</v>
      </c>
      <c r="D26" s="131">
        <f>'Прил 5'!S32</f>
        <v>19706.358</v>
      </c>
      <c r="E26" s="131" t="e">
        <f>'Прил 5'!#REF!</f>
        <v>#REF!</v>
      </c>
      <c r="F26" s="131" t="e">
        <f>'Прил 5'!#REF!</f>
        <v>#REF!</v>
      </c>
    </row>
    <row r="27" spans="1:6" s="80" customFormat="1" x14ac:dyDescent="0.25">
      <c r="A27" s="74" t="s">
        <v>116</v>
      </c>
      <c r="B27" s="75" t="s">
        <v>371</v>
      </c>
      <c r="C27" s="75" t="s">
        <v>114</v>
      </c>
      <c r="D27" s="131">
        <f>'Прил 5'!S33</f>
        <v>276.64000000000004</v>
      </c>
      <c r="E27" s="131" t="e">
        <f>'Прил 5'!#REF!</f>
        <v>#REF!</v>
      </c>
      <c r="F27" s="131" t="e">
        <f>'Прил 5'!#REF!</f>
        <v>#REF!</v>
      </c>
    </row>
    <row r="28" spans="1:6" s="80" customFormat="1" x14ac:dyDescent="0.25">
      <c r="A28" s="78" t="s">
        <v>179</v>
      </c>
      <c r="B28" s="79" t="s">
        <v>466</v>
      </c>
      <c r="C28" s="79" t="s">
        <v>9</v>
      </c>
      <c r="D28" s="132">
        <f>D29+D30+D32+D31</f>
        <v>29087.716</v>
      </c>
      <c r="E28" s="132" t="e">
        <f>E29+E30+E32</f>
        <v>#REF!</v>
      </c>
      <c r="F28" s="132" t="e">
        <f>F29+F30+F32</f>
        <v>#REF!</v>
      </c>
    </row>
    <row r="29" spans="1:6" s="80" customFormat="1" ht="47.25" x14ac:dyDescent="0.25">
      <c r="A29" s="74" t="s">
        <v>115</v>
      </c>
      <c r="B29" s="75" t="s">
        <v>466</v>
      </c>
      <c r="C29" s="75" t="s">
        <v>113</v>
      </c>
      <c r="D29" s="131">
        <f>'Прил 5'!S35</f>
        <v>26667.948</v>
      </c>
      <c r="E29" s="131" t="e">
        <f>'Прил 5'!#REF!</f>
        <v>#REF!</v>
      </c>
      <c r="F29" s="131" t="e">
        <f>'Прил 5'!#REF!</f>
        <v>#REF!</v>
      </c>
    </row>
    <row r="30" spans="1:6" s="77" customFormat="1" x14ac:dyDescent="0.25">
      <c r="A30" s="74" t="s">
        <v>124</v>
      </c>
      <c r="B30" s="75" t="s">
        <v>466</v>
      </c>
      <c r="C30" s="75" t="s">
        <v>117</v>
      </c>
      <c r="D30" s="131">
        <f>'Прил 5'!S36</f>
        <v>2102</v>
      </c>
      <c r="E30" s="131" t="e">
        <f>'Прил 5'!#REF!</f>
        <v>#REF!</v>
      </c>
      <c r="F30" s="131" t="e">
        <f>'Прил 5'!#REF!</f>
        <v>#REF!</v>
      </c>
    </row>
    <row r="31" spans="1:6" s="77" customFormat="1" x14ac:dyDescent="0.25">
      <c r="A31" s="74" t="s">
        <v>125</v>
      </c>
      <c r="B31" s="75" t="s">
        <v>466</v>
      </c>
      <c r="C31" s="75" t="s">
        <v>118</v>
      </c>
      <c r="D31" s="131">
        <f>'Прил 5'!S37</f>
        <v>97.451999999999998</v>
      </c>
      <c r="E31" s="131"/>
      <c r="F31" s="131"/>
    </row>
    <row r="32" spans="1:6" s="77" customFormat="1" x14ac:dyDescent="0.25">
      <c r="A32" s="74" t="s">
        <v>116</v>
      </c>
      <c r="B32" s="75" t="s">
        <v>466</v>
      </c>
      <c r="C32" s="75" t="s">
        <v>114</v>
      </c>
      <c r="D32" s="131">
        <f>'Прил 5'!S38</f>
        <v>220.316</v>
      </c>
      <c r="E32" s="131" t="e">
        <f>'Прил 5'!#REF!</f>
        <v>#REF!</v>
      </c>
      <c r="F32" s="131" t="e">
        <f>'Прил 5'!#REF!</f>
        <v>#REF!</v>
      </c>
    </row>
    <row r="33" spans="1:6" s="77" customFormat="1" x14ac:dyDescent="0.25">
      <c r="A33" s="78" t="s">
        <v>179</v>
      </c>
      <c r="B33" s="79" t="s">
        <v>467</v>
      </c>
      <c r="C33" s="79" t="s">
        <v>9</v>
      </c>
      <c r="D33" s="132">
        <f>D34</f>
        <v>1218.7</v>
      </c>
      <c r="E33" s="132" t="e">
        <f>E34</f>
        <v>#REF!</v>
      </c>
      <c r="F33" s="132" t="e">
        <f>F34</f>
        <v>#REF!</v>
      </c>
    </row>
    <row r="34" spans="1:6" s="80" customFormat="1" ht="47.25" x14ac:dyDescent="0.25">
      <c r="A34" s="74" t="s">
        <v>115</v>
      </c>
      <c r="B34" s="75" t="s">
        <v>467</v>
      </c>
      <c r="C34" s="75" t="s">
        <v>113</v>
      </c>
      <c r="D34" s="131">
        <f>'Прил 5'!S40</f>
        <v>1218.7</v>
      </c>
      <c r="E34" s="131" t="e">
        <f>'Прил 5'!#REF!</f>
        <v>#REF!</v>
      </c>
      <c r="F34" s="131" t="e">
        <f>'Прил 5'!#REF!</f>
        <v>#REF!</v>
      </c>
    </row>
    <row r="35" spans="1:6" s="80" customFormat="1" x14ac:dyDescent="0.25">
      <c r="A35" s="78" t="s">
        <v>574</v>
      </c>
      <c r="B35" s="79" t="s">
        <v>376</v>
      </c>
      <c r="C35" s="79" t="s">
        <v>9</v>
      </c>
      <c r="D35" s="132">
        <f>D36+D40+D44</f>
        <v>20143.281999999999</v>
      </c>
      <c r="E35" s="132" t="e">
        <f>E36+E40+E44</f>
        <v>#REF!</v>
      </c>
      <c r="F35" s="132" t="e">
        <f>F36+F40+F44</f>
        <v>#REF!</v>
      </c>
    </row>
    <row r="36" spans="1:6" s="80" customFormat="1" x14ac:dyDescent="0.25">
      <c r="A36" s="78" t="s">
        <v>38</v>
      </c>
      <c r="B36" s="79" t="s">
        <v>377</v>
      </c>
      <c r="C36" s="79" t="s">
        <v>9</v>
      </c>
      <c r="D36" s="132">
        <f>D37+D38+D39</f>
        <v>11124.081999999999</v>
      </c>
      <c r="E36" s="132" t="e">
        <f>E37+E38+E39</f>
        <v>#REF!</v>
      </c>
      <c r="F36" s="132" t="e">
        <f>F37+F38+F39</f>
        <v>#REF!</v>
      </c>
    </row>
    <row r="37" spans="1:6" s="80" customFormat="1" ht="47.25" x14ac:dyDescent="0.25">
      <c r="A37" s="74" t="s">
        <v>115</v>
      </c>
      <c r="B37" s="75" t="s">
        <v>377</v>
      </c>
      <c r="C37" s="75" t="s">
        <v>113</v>
      </c>
      <c r="D37" s="131">
        <f>'Прил 5'!S123+'Прил 5'!S181</f>
        <v>8281.2379999999976</v>
      </c>
      <c r="E37" s="131" t="e">
        <f>'Прил 5'!#REF!</f>
        <v>#REF!</v>
      </c>
      <c r="F37" s="131" t="e">
        <f>'Прил 5'!#REF!</f>
        <v>#REF!</v>
      </c>
    </row>
    <row r="38" spans="1:6" s="77" customFormat="1" x14ac:dyDescent="0.25">
      <c r="A38" s="74" t="s">
        <v>124</v>
      </c>
      <c r="B38" s="75" t="s">
        <v>377</v>
      </c>
      <c r="C38" s="75" t="s">
        <v>117</v>
      </c>
      <c r="D38" s="131">
        <f>'Прил 5'!S124</f>
        <v>2746.0440000000008</v>
      </c>
      <c r="E38" s="131" t="e">
        <f>'Прил 5'!#REF!</f>
        <v>#REF!</v>
      </c>
      <c r="F38" s="131" t="e">
        <f>'Прил 5'!#REF!</f>
        <v>#REF!</v>
      </c>
    </row>
    <row r="39" spans="1:6" s="77" customFormat="1" x14ac:dyDescent="0.25">
      <c r="A39" s="74" t="s">
        <v>116</v>
      </c>
      <c r="B39" s="75" t="s">
        <v>377</v>
      </c>
      <c r="C39" s="75" t="s">
        <v>114</v>
      </c>
      <c r="D39" s="131">
        <f>'Прил 5'!S125</f>
        <v>96.8</v>
      </c>
      <c r="E39" s="131" t="e">
        <f>'Прил 5'!#REF!</f>
        <v>#REF!</v>
      </c>
      <c r="F39" s="131" t="e">
        <f>'Прил 5'!#REF!</f>
        <v>#REF!</v>
      </c>
    </row>
    <row r="40" spans="1:6" s="80" customFormat="1" x14ac:dyDescent="0.25">
      <c r="A40" s="78" t="s">
        <v>38</v>
      </c>
      <c r="B40" s="79" t="s">
        <v>522</v>
      </c>
      <c r="C40" s="79" t="s">
        <v>9</v>
      </c>
      <c r="D40" s="132">
        <f>D41+D42+D43</f>
        <v>9019.2000000000007</v>
      </c>
      <c r="E40" s="132" t="e">
        <f>E41+E42+E43</f>
        <v>#REF!</v>
      </c>
      <c r="F40" s="132" t="e">
        <f>F41+F42+F43</f>
        <v>#REF!</v>
      </c>
    </row>
    <row r="41" spans="1:6" s="80" customFormat="1" ht="47.25" x14ac:dyDescent="0.25">
      <c r="A41" s="74" t="s">
        <v>115</v>
      </c>
      <c r="B41" s="75" t="s">
        <v>522</v>
      </c>
      <c r="C41" s="75" t="s">
        <v>113</v>
      </c>
      <c r="D41" s="131">
        <f>'Прил 5'!S127</f>
        <v>9019.2000000000007</v>
      </c>
      <c r="E41" s="131" t="e">
        <f>'Прил 5'!#REF!</f>
        <v>#REF!</v>
      </c>
      <c r="F41" s="131" t="e">
        <f>'Прил 5'!#REF!</f>
        <v>#REF!</v>
      </c>
    </row>
    <row r="42" spans="1:6" s="80" customFormat="1" ht="15.6" hidden="1" x14ac:dyDescent="0.3">
      <c r="A42" s="74" t="s">
        <v>124</v>
      </c>
      <c r="B42" s="75" t="s">
        <v>522</v>
      </c>
      <c r="C42" s="75" t="s">
        <v>117</v>
      </c>
      <c r="D42" s="131">
        <f>'Прил 5'!S128</f>
        <v>0</v>
      </c>
      <c r="E42" s="131" t="e">
        <f>'Прил 5'!#REF!</f>
        <v>#REF!</v>
      </c>
      <c r="F42" s="131" t="e">
        <f>'Прил 5'!#REF!</f>
        <v>#REF!</v>
      </c>
    </row>
    <row r="43" spans="1:6" s="80" customFormat="1" ht="15.6" hidden="1" x14ac:dyDescent="0.3">
      <c r="A43" s="74" t="s">
        <v>116</v>
      </c>
      <c r="B43" s="75" t="s">
        <v>522</v>
      </c>
      <c r="C43" s="75" t="s">
        <v>114</v>
      </c>
      <c r="D43" s="131">
        <f>'Прил 5'!S129</f>
        <v>0</v>
      </c>
      <c r="E43" s="131" t="e">
        <f>'Прил 5'!#REF!</f>
        <v>#REF!</v>
      </c>
      <c r="F43" s="131" t="e">
        <f>'Прил 5'!#REF!</f>
        <v>#REF!</v>
      </c>
    </row>
    <row r="44" spans="1:6" s="80" customFormat="1" ht="15.6" hidden="1" x14ac:dyDescent="0.3">
      <c r="A44" s="78" t="s">
        <v>38</v>
      </c>
      <c r="B44" s="79" t="s">
        <v>526</v>
      </c>
      <c r="C44" s="79" t="s">
        <v>9</v>
      </c>
      <c r="D44" s="132">
        <f>D45</f>
        <v>0</v>
      </c>
      <c r="E44" s="132" t="e">
        <f>E45</f>
        <v>#REF!</v>
      </c>
      <c r="F44" s="132" t="e">
        <f>F45</f>
        <v>#REF!</v>
      </c>
    </row>
    <row r="45" spans="1:6" s="80" customFormat="1" ht="46.9" hidden="1" x14ac:dyDescent="0.3">
      <c r="A45" s="74" t="s">
        <v>115</v>
      </c>
      <c r="B45" s="75" t="s">
        <v>526</v>
      </c>
      <c r="C45" s="75" t="s">
        <v>113</v>
      </c>
      <c r="D45" s="131">
        <f>'Прил 5'!S131</f>
        <v>0</v>
      </c>
      <c r="E45" s="131" t="e">
        <f>'Прил 5'!#REF!</f>
        <v>#REF!</v>
      </c>
      <c r="F45" s="131" t="e">
        <f>'Прил 5'!#REF!</f>
        <v>#REF!</v>
      </c>
    </row>
    <row r="46" spans="1:6" s="77" customFormat="1" x14ac:dyDescent="0.25">
      <c r="A46" s="78" t="s">
        <v>575</v>
      </c>
      <c r="B46" s="79" t="s">
        <v>367</v>
      </c>
      <c r="C46" s="79" t="s">
        <v>9</v>
      </c>
      <c r="D46" s="132">
        <f>D47+D51+D54</f>
        <v>13738.108</v>
      </c>
      <c r="E46" s="132" t="e">
        <f>E47+E51+E54</f>
        <v>#REF!</v>
      </c>
      <c r="F46" s="132" t="e">
        <f>F47+F51+F54</f>
        <v>#REF!</v>
      </c>
    </row>
    <row r="47" spans="1:6" s="80" customFormat="1" x14ac:dyDescent="0.25">
      <c r="A47" s="78" t="s">
        <v>29</v>
      </c>
      <c r="B47" s="79" t="s">
        <v>369</v>
      </c>
      <c r="C47" s="79" t="s">
        <v>9</v>
      </c>
      <c r="D47" s="132">
        <f>D48+D49+D50</f>
        <v>8794.6080000000002</v>
      </c>
      <c r="E47" s="132" t="e">
        <f>E48+E49</f>
        <v>#REF!</v>
      </c>
      <c r="F47" s="132" t="e">
        <f>F48+F49</f>
        <v>#REF!</v>
      </c>
    </row>
    <row r="48" spans="1:6" s="80" customFormat="1" ht="47.25" x14ac:dyDescent="0.25">
      <c r="A48" s="74" t="s">
        <v>115</v>
      </c>
      <c r="B48" s="75" t="s">
        <v>369</v>
      </c>
      <c r="C48" s="75" t="s">
        <v>113</v>
      </c>
      <c r="D48" s="131">
        <f>'Прил 5'!S155</f>
        <v>8075.3343999999997</v>
      </c>
      <c r="E48" s="131" t="e">
        <f>'Прил 5'!#REF!</f>
        <v>#REF!</v>
      </c>
      <c r="F48" s="131" t="e">
        <f>'Прил 5'!#REF!</f>
        <v>#REF!</v>
      </c>
    </row>
    <row r="49" spans="1:6" s="80" customFormat="1" x14ac:dyDescent="0.25">
      <c r="A49" s="74" t="s">
        <v>124</v>
      </c>
      <c r="B49" s="75" t="s">
        <v>369</v>
      </c>
      <c r="C49" s="75" t="s">
        <v>117</v>
      </c>
      <c r="D49" s="131">
        <f>'Прил 5'!S156</f>
        <v>719.27354000000014</v>
      </c>
      <c r="E49" s="131" t="e">
        <f>'Прил 5'!#REF!</f>
        <v>#REF!</v>
      </c>
      <c r="F49" s="131" t="e">
        <f>'Прил 5'!#REF!</f>
        <v>#REF!</v>
      </c>
    </row>
    <row r="50" spans="1:6" s="80" customFormat="1" ht="15.6" hidden="1" x14ac:dyDescent="0.3">
      <c r="A50" s="74" t="s">
        <v>116</v>
      </c>
      <c r="B50" s="75" t="s">
        <v>369</v>
      </c>
      <c r="C50" s="75" t="s">
        <v>114</v>
      </c>
      <c r="D50" s="131">
        <f>'Прил 5'!S157</f>
        <v>6.0000000000000002E-5</v>
      </c>
      <c r="E50" s="131"/>
      <c r="F50" s="131"/>
    </row>
    <row r="51" spans="1:6" s="77" customFormat="1" x14ac:dyDescent="0.25">
      <c r="A51" s="78" t="s">
        <v>45</v>
      </c>
      <c r="B51" s="79" t="s">
        <v>385</v>
      </c>
      <c r="C51" s="79" t="s">
        <v>9</v>
      </c>
      <c r="D51" s="132">
        <f>D52+D53</f>
        <v>3260.8000000000006</v>
      </c>
      <c r="E51" s="132" t="e">
        <f>E52+E53</f>
        <v>#REF!</v>
      </c>
      <c r="F51" s="132" t="e">
        <f>F52+F53</f>
        <v>#REF!</v>
      </c>
    </row>
    <row r="52" spans="1:6" s="80" customFormat="1" ht="47.25" x14ac:dyDescent="0.25">
      <c r="A52" s="74" t="s">
        <v>115</v>
      </c>
      <c r="B52" s="75" t="s">
        <v>385</v>
      </c>
      <c r="C52" s="75" t="s">
        <v>113</v>
      </c>
      <c r="D52" s="131">
        <f>'Прил 5'!S159</f>
        <v>2974.8640000000005</v>
      </c>
      <c r="E52" s="131" t="e">
        <f>'Прил 5'!#REF!</f>
        <v>#REF!</v>
      </c>
      <c r="F52" s="131" t="e">
        <f>'Прил 5'!#REF!</f>
        <v>#REF!</v>
      </c>
    </row>
    <row r="53" spans="1:6" s="80" customFormat="1" x14ac:dyDescent="0.25">
      <c r="A53" s="74" t="s">
        <v>124</v>
      </c>
      <c r="B53" s="75" t="s">
        <v>385</v>
      </c>
      <c r="C53" s="75" t="s">
        <v>117</v>
      </c>
      <c r="D53" s="131">
        <f>'Прил 5'!S160</f>
        <v>285.93599999999998</v>
      </c>
      <c r="E53" s="131" t="e">
        <f>'Прил 5'!#REF!</f>
        <v>#REF!</v>
      </c>
      <c r="F53" s="131" t="e">
        <f>'Прил 5'!#REF!</f>
        <v>#REF!</v>
      </c>
    </row>
    <row r="54" spans="1:6" s="80" customFormat="1" x14ac:dyDescent="0.25">
      <c r="A54" s="78" t="s">
        <v>26</v>
      </c>
      <c r="B54" s="79" t="s">
        <v>368</v>
      </c>
      <c r="C54" s="79" t="s">
        <v>9</v>
      </c>
      <c r="D54" s="132">
        <f>D55+D56</f>
        <v>1682.6999999999998</v>
      </c>
      <c r="E54" s="132" t="e">
        <f>E55+E56</f>
        <v>#REF!</v>
      </c>
      <c r="F54" s="132" t="e">
        <f>F55+F56</f>
        <v>#REF!</v>
      </c>
    </row>
    <row r="55" spans="1:6" s="80" customFormat="1" ht="47.25" x14ac:dyDescent="0.25">
      <c r="A55" s="74" t="s">
        <v>115</v>
      </c>
      <c r="B55" s="75" t="s">
        <v>368</v>
      </c>
      <c r="C55" s="75" t="s">
        <v>113</v>
      </c>
      <c r="D55" s="131">
        <f>'Прил 5'!S19</f>
        <v>1677.6</v>
      </c>
      <c r="E55" s="131" t="e">
        <f>'Прил 5'!#REF!</f>
        <v>#REF!</v>
      </c>
      <c r="F55" s="131" t="e">
        <f>'Прил 5'!#REF!</f>
        <v>#REF!</v>
      </c>
    </row>
    <row r="56" spans="1:6" s="77" customFormat="1" x14ac:dyDescent="0.25">
      <c r="A56" s="74" t="s">
        <v>124</v>
      </c>
      <c r="B56" s="75" t="s">
        <v>368</v>
      </c>
      <c r="C56" s="75" t="s">
        <v>117</v>
      </c>
      <c r="D56" s="131">
        <f>'Прил 5'!S20</f>
        <v>5.0999999999999996</v>
      </c>
      <c r="E56" s="131" t="e">
        <f>'Прил 5'!#REF!</f>
        <v>#REF!</v>
      </c>
      <c r="F56" s="131" t="e">
        <f>'Прил 5'!#REF!</f>
        <v>#REF!</v>
      </c>
    </row>
    <row r="57" spans="1:6" s="77" customFormat="1" ht="31.5" x14ac:dyDescent="0.25">
      <c r="A57" s="78" t="s">
        <v>1156</v>
      </c>
      <c r="B57" s="79" t="s">
        <v>378</v>
      </c>
      <c r="C57" s="79" t="s">
        <v>9</v>
      </c>
      <c r="D57" s="132">
        <f>D58+D59</f>
        <v>621.6</v>
      </c>
      <c r="E57" s="132" t="e">
        <f>E58</f>
        <v>#REF!</v>
      </c>
      <c r="F57" s="132" t="e">
        <f>F58</f>
        <v>#REF!</v>
      </c>
    </row>
    <row r="58" spans="1:6" s="80" customFormat="1" ht="15.6" hidden="1" x14ac:dyDescent="0.3">
      <c r="A58" s="74" t="s">
        <v>124</v>
      </c>
      <c r="B58" s="75" t="s">
        <v>378</v>
      </c>
      <c r="C58" s="75" t="s">
        <v>117</v>
      </c>
      <c r="D58" s="131">
        <f>'Прил 5'!S133</f>
        <v>0</v>
      </c>
      <c r="E58" s="131" t="e">
        <f>'Прил 5'!#REF!</f>
        <v>#REF!</v>
      </c>
      <c r="F58" s="131" t="e">
        <f>'Прил 5'!#REF!</f>
        <v>#REF!</v>
      </c>
    </row>
    <row r="59" spans="1:6" s="80" customFormat="1" ht="31.5" x14ac:dyDescent="0.25">
      <c r="A59" s="74" t="s">
        <v>843</v>
      </c>
      <c r="B59" s="75" t="s">
        <v>378</v>
      </c>
      <c r="C59" s="75" t="s">
        <v>490</v>
      </c>
      <c r="D59" s="131">
        <f>'Прил 5'!S134</f>
        <v>621.6</v>
      </c>
      <c r="E59" s="131"/>
      <c r="F59" s="131"/>
    </row>
    <row r="60" spans="1:6" s="80" customFormat="1" ht="31.5" x14ac:dyDescent="0.25">
      <c r="A60" s="78" t="s">
        <v>41</v>
      </c>
      <c r="B60" s="79" t="s">
        <v>383</v>
      </c>
      <c r="C60" s="79" t="s">
        <v>9</v>
      </c>
      <c r="D60" s="132">
        <f>D65+D67+D69+D61</f>
        <v>20916.48</v>
      </c>
      <c r="E60" s="132" t="e">
        <f>E65+E67</f>
        <v>#REF!</v>
      </c>
      <c r="F60" s="132" t="e">
        <f>F65+F67</f>
        <v>#REF!</v>
      </c>
    </row>
    <row r="61" spans="1:6" s="80" customFormat="1" ht="31.5" x14ac:dyDescent="0.25">
      <c r="A61" s="267" t="s">
        <v>1238</v>
      </c>
      <c r="B61" s="613" t="s">
        <v>1236</v>
      </c>
      <c r="C61" s="613" t="s">
        <v>9</v>
      </c>
      <c r="D61" s="132">
        <f>D62</f>
        <v>2959.2</v>
      </c>
      <c r="E61" s="132"/>
      <c r="F61" s="132"/>
    </row>
    <row r="62" spans="1:6" s="80" customFormat="1" x14ac:dyDescent="0.25">
      <c r="A62" s="264" t="s">
        <v>124</v>
      </c>
      <c r="B62" s="75" t="s">
        <v>1236</v>
      </c>
      <c r="C62" s="75" t="s">
        <v>117</v>
      </c>
      <c r="D62" s="132">
        <f>'Прил 5'!S66</f>
        <v>2959.2</v>
      </c>
      <c r="E62" s="132"/>
      <c r="F62" s="132"/>
    </row>
    <row r="63" spans="1:6" s="80" customFormat="1" ht="31.5" x14ac:dyDescent="0.25">
      <c r="A63" s="267" t="s">
        <v>1238</v>
      </c>
      <c r="B63" s="613" t="s">
        <v>1237</v>
      </c>
      <c r="C63" s="613" t="s">
        <v>9</v>
      </c>
      <c r="D63" s="132">
        <f>D64</f>
        <v>29.9</v>
      </c>
      <c r="E63" s="132"/>
      <c r="F63" s="132"/>
    </row>
    <row r="64" spans="1:6" s="80" customFormat="1" x14ac:dyDescent="0.25">
      <c r="A64" s="264" t="s">
        <v>124</v>
      </c>
      <c r="B64" s="75" t="s">
        <v>1237</v>
      </c>
      <c r="C64" s="75" t="s">
        <v>117</v>
      </c>
      <c r="D64" s="132">
        <f>'Прил 5'!S68</f>
        <v>29.9</v>
      </c>
      <c r="E64" s="132"/>
      <c r="F64" s="132"/>
    </row>
    <row r="65" spans="1:6" s="77" customFormat="1" ht="47.25" x14ac:dyDescent="0.25">
      <c r="A65" s="78" t="s">
        <v>646</v>
      </c>
      <c r="B65" s="79" t="s">
        <v>384</v>
      </c>
      <c r="C65" s="79" t="s">
        <v>9</v>
      </c>
      <c r="D65" s="132">
        <f>D66</f>
        <v>831.08</v>
      </c>
      <c r="E65" s="132" t="e">
        <f>E66</f>
        <v>#REF!</v>
      </c>
      <c r="F65" s="132" t="e">
        <f>F66</f>
        <v>#REF!</v>
      </c>
    </row>
    <row r="66" spans="1:6" s="77" customFormat="1" x14ac:dyDescent="0.25">
      <c r="A66" s="74" t="s">
        <v>124</v>
      </c>
      <c r="B66" s="75" t="s">
        <v>384</v>
      </c>
      <c r="C66" s="75" t="s">
        <v>117</v>
      </c>
      <c r="D66" s="131">
        <f>'Прил 5'!S148+'Прил 5'!S163</f>
        <v>831.08</v>
      </c>
      <c r="E66" s="131" t="e">
        <f>'Прил 5'!#REF!</f>
        <v>#REF!</v>
      </c>
      <c r="F66" s="131" t="e">
        <f>'Прил 5'!#REF!</f>
        <v>#REF!</v>
      </c>
    </row>
    <row r="67" spans="1:6" s="80" customFormat="1" ht="47.25" x14ac:dyDescent="0.25">
      <c r="A67" s="78" t="s">
        <v>808</v>
      </c>
      <c r="B67" s="79" t="s">
        <v>807</v>
      </c>
      <c r="C67" s="79" t="s">
        <v>9</v>
      </c>
      <c r="D67" s="132">
        <f>D68</f>
        <v>11138.199999999997</v>
      </c>
      <c r="E67" s="132" t="e">
        <f>E68</f>
        <v>#REF!</v>
      </c>
      <c r="F67" s="132" t="e">
        <f>F68</f>
        <v>#REF!</v>
      </c>
    </row>
    <row r="68" spans="1:6" s="80" customFormat="1" x14ac:dyDescent="0.25">
      <c r="A68" s="74" t="s">
        <v>124</v>
      </c>
      <c r="B68" s="75" t="s">
        <v>807</v>
      </c>
      <c r="C68" s="75" t="s">
        <v>117</v>
      </c>
      <c r="D68" s="131">
        <f>'Прил 5'!S70+'Прил 5'!S43+'Прил 5'!S137</f>
        <v>11138.199999999997</v>
      </c>
      <c r="E68" s="131" t="e">
        <f>'Прил 5'!#REF!</f>
        <v>#REF!</v>
      </c>
      <c r="F68" s="131" t="e">
        <f>'Прил 5'!#REF!</f>
        <v>#REF!</v>
      </c>
    </row>
    <row r="69" spans="1:6" s="80" customFormat="1" ht="31.5" x14ac:dyDescent="0.25">
      <c r="A69" s="267" t="s">
        <v>1162</v>
      </c>
      <c r="B69" s="79" t="s">
        <v>1164</v>
      </c>
      <c r="C69" s="79" t="s">
        <v>9</v>
      </c>
      <c r="D69" s="131">
        <f>D70</f>
        <v>5988</v>
      </c>
      <c r="E69" s="131"/>
      <c r="F69" s="131"/>
    </row>
    <row r="70" spans="1:6" s="80" customFormat="1" x14ac:dyDescent="0.25">
      <c r="A70" s="264" t="s">
        <v>124</v>
      </c>
      <c r="B70" s="75" t="s">
        <v>1164</v>
      </c>
      <c r="C70" s="75" t="s">
        <v>117</v>
      </c>
      <c r="D70" s="131">
        <f>'Прил 5'!S72</f>
        <v>5988</v>
      </c>
      <c r="E70" s="131"/>
      <c r="F70" s="131"/>
    </row>
    <row r="71" spans="1:6" s="80" customFormat="1" ht="47.25" x14ac:dyDescent="0.25">
      <c r="A71" s="78" t="s">
        <v>1110</v>
      </c>
      <c r="B71" s="79" t="s">
        <v>386</v>
      </c>
      <c r="C71" s="79" t="s">
        <v>9</v>
      </c>
      <c r="D71" s="132">
        <f>D72+D75+D78</f>
        <v>10699.199999999999</v>
      </c>
      <c r="E71" s="132" t="e">
        <f>E72+E75</f>
        <v>#REF!</v>
      </c>
      <c r="F71" s="132" t="e">
        <f>F72+F75</f>
        <v>#REF!</v>
      </c>
    </row>
    <row r="72" spans="1:6" s="80" customFormat="1" ht="47.25" x14ac:dyDescent="0.25">
      <c r="A72" s="78" t="s">
        <v>46</v>
      </c>
      <c r="B72" s="79" t="s">
        <v>387</v>
      </c>
      <c r="C72" s="79" t="s">
        <v>9</v>
      </c>
      <c r="D72" s="132">
        <f>D73+D74</f>
        <v>2054.7000000000003</v>
      </c>
      <c r="E72" s="132" t="e">
        <f>E73+E74</f>
        <v>#REF!</v>
      </c>
      <c r="F72" s="132" t="e">
        <f>F73+F74</f>
        <v>#REF!</v>
      </c>
    </row>
    <row r="73" spans="1:6" s="80" customFormat="1" x14ac:dyDescent="0.25">
      <c r="A73" s="74" t="s">
        <v>124</v>
      </c>
      <c r="B73" s="75" t="s">
        <v>387</v>
      </c>
      <c r="C73" s="75" t="s">
        <v>117</v>
      </c>
      <c r="D73" s="131">
        <f>'Прил 5'!S168</f>
        <v>59.8</v>
      </c>
      <c r="E73" s="131" t="e">
        <f>'Прил 5'!#REF!</f>
        <v>#REF!</v>
      </c>
      <c r="F73" s="131" t="e">
        <f>'Прил 5'!#REF!</f>
        <v>#REF!</v>
      </c>
    </row>
    <row r="74" spans="1:6" s="80" customFormat="1" x14ac:dyDescent="0.25">
      <c r="A74" s="74" t="s">
        <v>125</v>
      </c>
      <c r="B74" s="75" t="s">
        <v>387</v>
      </c>
      <c r="C74" s="75" t="s">
        <v>118</v>
      </c>
      <c r="D74" s="131">
        <f>'Прил 5'!S184</f>
        <v>1994.9</v>
      </c>
      <c r="E74" s="131" t="e">
        <f>'Прил 5'!#REF!</f>
        <v>#REF!</v>
      </c>
      <c r="F74" s="131" t="e">
        <f>'Прил 5'!#REF!</f>
        <v>#REF!</v>
      </c>
    </row>
    <row r="75" spans="1:6" s="77" customFormat="1" ht="63" x14ac:dyDescent="0.25">
      <c r="A75" s="78" t="s">
        <v>1114</v>
      </c>
      <c r="B75" s="79" t="s">
        <v>388</v>
      </c>
      <c r="C75" s="79" t="s">
        <v>9</v>
      </c>
      <c r="D75" s="132">
        <f>D76+D77</f>
        <v>8275.6999999999989</v>
      </c>
      <c r="E75" s="132" t="e">
        <f>E76+E77</f>
        <v>#REF!</v>
      </c>
      <c r="F75" s="132" t="e">
        <f>F76+F77</f>
        <v>#REF!</v>
      </c>
    </row>
    <row r="76" spans="1:6" s="80" customFormat="1" ht="47.25" x14ac:dyDescent="0.25">
      <c r="A76" s="74" t="s">
        <v>115</v>
      </c>
      <c r="B76" s="75" t="s">
        <v>388</v>
      </c>
      <c r="C76" s="75" t="s">
        <v>113</v>
      </c>
      <c r="D76" s="131">
        <f>'Прил 5'!S174</f>
        <v>8191.9</v>
      </c>
      <c r="E76" s="131" t="e">
        <f>'Прил 5'!#REF!</f>
        <v>#REF!</v>
      </c>
      <c r="F76" s="131" t="e">
        <f>'Прил 5'!#REF!</f>
        <v>#REF!</v>
      </c>
    </row>
    <row r="77" spans="1:6" s="80" customFormat="1" x14ac:dyDescent="0.25">
      <c r="A77" s="74" t="s">
        <v>124</v>
      </c>
      <c r="B77" s="75" t="s">
        <v>388</v>
      </c>
      <c r="C77" s="75" t="s">
        <v>117</v>
      </c>
      <c r="D77" s="131">
        <f>'Прил 5'!S175</f>
        <v>83.8</v>
      </c>
      <c r="E77" s="131" t="e">
        <f>'Прил 5'!#REF!</f>
        <v>#REF!</v>
      </c>
      <c r="F77" s="131" t="e">
        <f>'Прил 5'!#REF!</f>
        <v>#REF!</v>
      </c>
    </row>
    <row r="78" spans="1:6" s="80" customFormat="1" ht="78.75" x14ac:dyDescent="0.25">
      <c r="A78" s="78" t="s">
        <v>852</v>
      </c>
      <c r="B78" s="79" t="s">
        <v>851</v>
      </c>
      <c r="C78" s="79" t="s">
        <v>9</v>
      </c>
      <c r="D78" s="132">
        <f>D79</f>
        <v>368.8</v>
      </c>
      <c r="E78" s="131"/>
      <c r="F78" s="131"/>
    </row>
    <row r="79" spans="1:6" s="80" customFormat="1" ht="47.25" x14ac:dyDescent="0.25">
      <c r="A79" s="74" t="s">
        <v>115</v>
      </c>
      <c r="B79" s="75" t="s">
        <v>851</v>
      </c>
      <c r="C79" s="75" t="s">
        <v>113</v>
      </c>
      <c r="D79" s="131">
        <f>'Прил 5'!S110</f>
        <v>368.8</v>
      </c>
      <c r="E79" s="131"/>
      <c r="F79" s="131"/>
    </row>
    <row r="80" spans="1:6" s="80" customFormat="1" x14ac:dyDescent="0.25">
      <c r="A80" s="78" t="s">
        <v>39</v>
      </c>
      <c r="B80" s="79" t="s">
        <v>372</v>
      </c>
      <c r="C80" s="79" t="s">
        <v>9</v>
      </c>
      <c r="D80" s="132">
        <f>D81+D87+D91+D85+D93+D95</f>
        <v>205966.7</v>
      </c>
      <c r="E80" s="132" t="e">
        <f>E81+E87+E91</f>
        <v>#REF!</v>
      </c>
      <c r="F80" s="132" t="e">
        <f>F81+F87+F91</f>
        <v>#REF!</v>
      </c>
    </row>
    <row r="81" spans="1:6" s="80" customFormat="1" ht="47.25" x14ac:dyDescent="0.25">
      <c r="A81" s="78" t="s">
        <v>206</v>
      </c>
      <c r="B81" s="79" t="s">
        <v>379</v>
      </c>
      <c r="C81" s="79" t="s">
        <v>9</v>
      </c>
      <c r="D81" s="132">
        <f>D82+D83+D84</f>
        <v>170138</v>
      </c>
      <c r="E81" s="132" t="e">
        <f>E82+E83</f>
        <v>#REF!</v>
      </c>
      <c r="F81" s="132" t="e">
        <f>F82+F83</f>
        <v>#REF!</v>
      </c>
    </row>
    <row r="82" spans="1:6" s="80" customFormat="1" ht="47.25" x14ac:dyDescent="0.25">
      <c r="A82" s="74" t="s">
        <v>115</v>
      </c>
      <c r="B82" s="75" t="s">
        <v>379</v>
      </c>
      <c r="C82" s="75" t="s">
        <v>113</v>
      </c>
      <c r="D82" s="131">
        <f>'Прил 5'!S75+'Прил 5'!S187</f>
        <v>167943.82891000001</v>
      </c>
      <c r="E82" s="131" t="e">
        <f>'Прил 5'!#REF!+'Прил 5'!#REF!</f>
        <v>#REF!</v>
      </c>
      <c r="F82" s="131" t="e">
        <f>'Прил 5'!#REF!+'Прил 5'!#REF!</f>
        <v>#REF!</v>
      </c>
    </row>
    <row r="83" spans="1:6" s="80" customFormat="1" x14ac:dyDescent="0.25">
      <c r="A83" s="74" t="s">
        <v>124</v>
      </c>
      <c r="B83" s="75" t="s">
        <v>379</v>
      </c>
      <c r="C83" s="75" t="s">
        <v>117</v>
      </c>
      <c r="D83" s="131">
        <f>'Прил 5'!S76</f>
        <v>2192</v>
      </c>
      <c r="E83" s="131" t="e">
        <f>'Прил 5'!#REF!</f>
        <v>#REF!</v>
      </c>
      <c r="F83" s="131" t="e">
        <f>'Прил 5'!#REF!</f>
        <v>#REF!</v>
      </c>
    </row>
    <row r="84" spans="1:6" s="80" customFormat="1" x14ac:dyDescent="0.25">
      <c r="A84" s="74" t="s">
        <v>125</v>
      </c>
      <c r="B84" s="75" t="s">
        <v>379</v>
      </c>
      <c r="C84" s="75" t="s">
        <v>118</v>
      </c>
      <c r="D84" s="131">
        <f>'Прил 5'!S77</f>
        <v>2.17109</v>
      </c>
      <c r="E84" s="131"/>
      <c r="F84" s="131"/>
    </row>
    <row r="85" spans="1:6" s="80" customFormat="1" ht="46.9" hidden="1" x14ac:dyDescent="0.3">
      <c r="A85" s="78" t="s">
        <v>1039</v>
      </c>
      <c r="B85" s="79" t="s">
        <v>1040</v>
      </c>
      <c r="C85" s="79" t="s">
        <v>9</v>
      </c>
      <c r="D85" s="132">
        <f>D86</f>
        <v>0</v>
      </c>
      <c r="E85" s="131"/>
      <c r="F85" s="131"/>
    </row>
    <row r="86" spans="1:6" s="80" customFormat="1" ht="15.6" hidden="1" x14ac:dyDescent="0.3">
      <c r="A86" s="74" t="s">
        <v>124</v>
      </c>
      <c r="B86" s="75" t="s">
        <v>1040</v>
      </c>
      <c r="C86" s="75" t="s">
        <v>117</v>
      </c>
      <c r="D86" s="131">
        <f>'Прил 5'!S48+'Прил 5'!S81</f>
        <v>0</v>
      </c>
      <c r="E86" s="131"/>
      <c r="F86" s="131"/>
    </row>
    <row r="87" spans="1:6" s="77" customFormat="1" ht="31.5" x14ac:dyDescent="0.25">
      <c r="A87" s="78" t="s">
        <v>34</v>
      </c>
      <c r="B87" s="79" t="s">
        <v>373</v>
      </c>
      <c r="C87" s="79" t="s">
        <v>9</v>
      </c>
      <c r="D87" s="132">
        <f>D88+D89+D90</f>
        <v>35708.600000000013</v>
      </c>
      <c r="E87" s="132" t="e">
        <f>E88+E89</f>
        <v>#REF!</v>
      </c>
      <c r="F87" s="132" t="e">
        <f>F88+F89</f>
        <v>#REF!</v>
      </c>
    </row>
    <row r="88" spans="1:6" s="80" customFormat="1" ht="47.25" x14ac:dyDescent="0.25">
      <c r="A88" s="74" t="s">
        <v>115</v>
      </c>
      <c r="B88" s="75" t="s">
        <v>373</v>
      </c>
      <c r="C88" s="75" t="s">
        <v>113</v>
      </c>
      <c r="D88" s="131">
        <f>'Прил 5'!S50+'Прил 5'!S189</f>
        <v>35173.15600000001</v>
      </c>
      <c r="E88" s="131" t="e">
        <f>'Прил 5'!#REF!</f>
        <v>#REF!</v>
      </c>
      <c r="F88" s="131" t="e">
        <f>'Прил 5'!#REF!</f>
        <v>#REF!</v>
      </c>
    </row>
    <row r="89" spans="1:6" s="80" customFormat="1" x14ac:dyDescent="0.25">
      <c r="A89" s="74" t="s">
        <v>124</v>
      </c>
      <c r="B89" s="75" t="s">
        <v>373</v>
      </c>
      <c r="C89" s="75" t="s">
        <v>117</v>
      </c>
      <c r="D89" s="131">
        <f>'Прил 5'!S51</f>
        <v>535.44400000000007</v>
      </c>
      <c r="E89" s="131" t="e">
        <f>'Прил 5'!#REF!</f>
        <v>#REF!</v>
      </c>
      <c r="F89" s="131" t="e">
        <f>'Прил 5'!#REF!</f>
        <v>#REF!</v>
      </c>
    </row>
    <row r="90" spans="1:6" s="80" customFormat="1" ht="15.6" hidden="1" x14ac:dyDescent="0.3">
      <c r="A90" s="74" t="s">
        <v>125</v>
      </c>
      <c r="B90" s="75" t="s">
        <v>373</v>
      </c>
      <c r="C90" s="75" t="s">
        <v>118</v>
      </c>
      <c r="D90" s="131">
        <f>'Прил 5'!S52</f>
        <v>0</v>
      </c>
      <c r="E90" s="131"/>
      <c r="F90" s="131"/>
    </row>
    <row r="91" spans="1:6" s="80" customFormat="1" ht="31.15" hidden="1" x14ac:dyDescent="0.3">
      <c r="A91" s="78" t="s">
        <v>653</v>
      </c>
      <c r="B91" s="79" t="s">
        <v>652</v>
      </c>
      <c r="C91" s="79" t="s">
        <v>9</v>
      </c>
      <c r="D91" s="132">
        <f>D92</f>
        <v>0</v>
      </c>
      <c r="E91" s="132" t="e">
        <f>E92</f>
        <v>#REF!</v>
      </c>
      <c r="F91" s="132" t="e">
        <f>F92</f>
        <v>#REF!</v>
      </c>
    </row>
    <row r="92" spans="1:6" s="80" customFormat="1" ht="46.9" hidden="1" x14ac:dyDescent="0.3">
      <c r="A92" s="74" t="s">
        <v>115</v>
      </c>
      <c r="B92" s="75" t="s">
        <v>652</v>
      </c>
      <c r="C92" s="75" t="s">
        <v>113</v>
      </c>
      <c r="D92" s="131">
        <f>'Прил 5'!S79</f>
        <v>0</v>
      </c>
      <c r="E92" s="131" t="e">
        <f>'Прил 5'!#REF!</f>
        <v>#REF!</v>
      </c>
      <c r="F92" s="131" t="e">
        <f>'Прил 5'!#REF!</f>
        <v>#REF!</v>
      </c>
    </row>
    <row r="93" spans="1:6" s="80" customFormat="1" ht="15.6" hidden="1" x14ac:dyDescent="0.3">
      <c r="A93" s="78" t="s">
        <v>1113</v>
      </c>
      <c r="B93" s="79" t="s">
        <v>1042</v>
      </c>
      <c r="C93" s="79" t="s">
        <v>9</v>
      </c>
      <c r="D93" s="132">
        <f>D94</f>
        <v>0</v>
      </c>
      <c r="E93" s="131"/>
      <c r="F93" s="131"/>
    </row>
    <row r="94" spans="1:6" s="80" customFormat="1" ht="15.6" hidden="1" x14ac:dyDescent="0.3">
      <c r="A94" s="74" t="s">
        <v>124</v>
      </c>
      <c r="B94" s="75" t="s">
        <v>1042</v>
      </c>
      <c r="C94" s="75" t="s">
        <v>117</v>
      </c>
      <c r="D94" s="131">
        <f>'Прил 5'!S83</f>
        <v>0</v>
      </c>
      <c r="E94" s="131"/>
      <c r="F94" s="131"/>
    </row>
    <row r="95" spans="1:6" s="80" customFormat="1" ht="31.5" x14ac:dyDescent="0.25">
      <c r="A95" s="267" t="s">
        <v>1241</v>
      </c>
      <c r="B95" s="615" t="s">
        <v>1240</v>
      </c>
      <c r="C95" s="614" t="s">
        <v>9</v>
      </c>
      <c r="D95" s="131">
        <f>D96</f>
        <v>120.1</v>
      </c>
      <c r="E95" s="131"/>
      <c r="F95" s="131"/>
    </row>
    <row r="96" spans="1:6" s="80" customFormat="1" x14ac:dyDescent="0.25">
      <c r="A96" s="264" t="s">
        <v>124</v>
      </c>
      <c r="B96" s="75" t="s">
        <v>1240</v>
      </c>
      <c r="C96" s="380" t="s">
        <v>117</v>
      </c>
      <c r="D96" s="131">
        <f>'Прил 5'!S85</f>
        <v>120.1</v>
      </c>
      <c r="E96" s="131"/>
      <c r="F96" s="131"/>
    </row>
    <row r="97" spans="1:6" s="80" customFormat="1" x14ac:dyDescent="0.25">
      <c r="A97" s="78" t="s">
        <v>805</v>
      </c>
      <c r="B97" s="79" t="s">
        <v>802</v>
      </c>
      <c r="C97" s="79" t="s">
        <v>9</v>
      </c>
      <c r="D97" s="132">
        <f>D107+D98+D114</f>
        <v>3122.1980000000003</v>
      </c>
      <c r="E97" s="132"/>
      <c r="F97" s="132"/>
    </row>
    <row r="98" spans="1:6" s="80" customFormat="1" x14ac:dyDescent="0.25">
      <c r="A98" s="78" t="s">
        <v>944</v>
      </c>
      <c r="B98" s="79" t="s">
        <v>945</v>
      </c>
      <c r="C98" s="79" t="s">
        <v>9</v>
      </c>
      <c r="D98" s="132">
        <f>D99+D101+D103+D105</f>
        <v>1212.4000000000001</v>
      </c>
      <c r="E98" s="132"/>
      <c r="F98" s="132"/>
    </row>
    <row r="99" spans="1:6" s="80" customFormat="1" ht="46.9" hidden="1" x14ac:dyDescent="0.3">
      <c r="A99" s="78" t="s">
        <v>946</v>
      </c>
      <c r="B99" s="79" t="s">
        <v>1017</v>
      </c>
      <c r="C99" s="79" t="s">
        <v>9</v>
      </c>
      <c r="D99" s="132">
        <f>D100</f>
        <v>0</v>
      </c>
      <c r="E99" s="132"/>
      <c r="F99" s="132"/>
    </row>
    <row r="100" spans="1:6" s="80" customFormat="1" ht="15.6" hidden="1" x14ac:dyDescent="0.3">
      <c r="A100" s="74" t="s">
        <v>124</v>
      </c>
      <c r="B100" s="75" t="s">
        <v>1017</v>
      </c>
      <c r="C100" s="75" t="s">
        <v>117</v>
      </c>
      <c r="D100" s="131">
        <f>'Прил 5'!S89</f>
        <v>0</v>
      </c>
      <c r="E100" s="132"/>
      <c r="F100" s="132"/>
    </row>
    <row r="101" spans="1:6" s="80" customFormat="1" ht="46.9" hidden="1" x14ac:dyDescent="0.3">
      <c r="A101" s="78" t="s">
        <v>946</v>
      </c>
      <c r="B101" s="79" t="s">
        <v>1018</v>
      </c>
      <c r="C101" s="79" t="s">
        <v>9</v>
      </c>
      <c r="D101" s="132">
        <f>D102</f>
        <v>0</v>
      </c>
      <c r="E101" s="132"/>
      <c r="F101" s="132"/>
    </row>
    <row r="102" spans="1:6" s="80" customFormat="1" ht="15.6" hidden="1" x14ac:dyDescent="0.3">
      <c r="A102" s="74" t="s">
        <v>124</v>
      </c>
      <c r="B102" s="75" t="s">
        <v>1018</v>
      </c>
      <c r="C102" s="75" t="s">
        <v>117</v>
      </c>
      <c r="D102" s="131">
        <f>'Прил 5'!S91</f>
        <v>0</v>
      </c>
      <c r="E102" s="132"/>
      <c r="F102" s="132"/>
    </row>
    <row r="103" spans="1:6" s="80" customFormat="1" ht="63" x14ac:dyDescent="0.25">
      <c r="A103" s="78" t="s">
        <v>946</v>
      </c>
      <c r="B103" s="79" t="s">
        <v>947</v>
      </c>
      <c r="C103" s="79" t="s">
        <v>9</v>
      </c>
      <c r="D103" s="131">
        <f>D104</f>
        <v>1200</v>
      </c>
      <c r="E103" s="132"/>
      <c r="F103" s="132"/>
    </row>
    <row r="104" spans="1:6" s="80" customFormat="1" x14ac:dyDescent="0.25">
      <c r="A104" s="74" t="s">
        <v>124</v>
      </c>
      <c r="B104" s="75" t="s">
        <v>947</v>
      </c>
      <c r="C104" s="75" t="s">
        <v>117</v>
      </c>
      <c r="D104" s="131">
        <f>'Прил 5'!S93</f>
        <v>1200</v>
      </c>
      <c r="E104" s="132"/>
      <c r="F104" s="132"/>
    </row>
    <row r="105" spans="1:6" s="80" customFormat="1" ht="63" x14ac:dyDescent="0.25">
      <c r="A105" s="78" t="s">
        <v>946</v>
      </c>
      <c r="B105" s="79" t="s">
        <v>948</v>
      </c>
      <c r="C105" s="79" t="s">
        <v>9</v>
      </c>
      <c r="D105" s="131">
        <f>D106</f>
        <v>12.4</v>
      </c>
      <c r="E105" s="132"/>
      <c r="F105" s="132"/>
    </row>
    <row r="106" spans="1:6" s="80" customFormat="1" x14ac:dyDescent="0.25">
      <c r="A106" s="74" t="s">
        <v>124</v>
      </c>
      <c r="B106" s="75" t="s">
        <v>948</v>
      </c>
      <c r="C106" s="75" t="s">
        <v>117</v>
      </c>
      <c r="D106" s="131">
        <f>'Прил 5'!S95</f>
        <v>12.4</v>
      </c>
      <c r="E106" s="132"/>
      <c r="F106" s="132"/>
    </row>
    <row r="107" spans="1:6" s="80" customFormat="1" ht="15.6" hidden="1" x14ac:dyDescent="0.3">
      <c r="A107" s="78" t="s">
        <v>804</v>
      </c>
      <c r="B107" s="79" t="s">
        <v>803</v>
      </c>
      <c r="C107" s="79" t="s">
        <v>9</v>
      </c>
      <c r="D107" s="132">
        <f>D108+D112+D110</f>
        <v>0</v>
      </c>
      <c r="E107" s="132"/>
      <c r="F107" s="132"/>
    </row>
    <row r="108" spans="1:6" s="80" customFormat="1" ht="31.15" hidden="1" x14ac:dyDescent="0.3">
      <c r="A108" s="78" t="s">
        <v>659</v>
      </c>
      <c r="B108" s="79" t="s">
        <v>680</v>
      </c>
      <c r="C108" s="79" t="s">
        <v>9</v>
      </c>
      <c r="D108" s="132">
        <f>D109</f>
        <v>0</v>
      </c>
      <c r="E108" s="132" t="e">
        <f>E109</f>
        <v>#REF!</v>
      </c>
      <c r="F108" s="132" t="e">
        <f>F109</f>
        <v>#REF!</v>
      </c>
    </row>
    <row r="109" spans="1:6" s="80" customFormat="1" ht="15.6" hidden="1" x14ac:dyDescent="0.3">
      <c r="A109" s="74" t="s">
        <v>124</v>
      </c>
      <c r="B109" s="75" t="s">
        <v>680</v>
      </c>
      <c r="C109" s="75" t="s">
        <v>117</v>
      </c>
      <c r="D109" s="131">
        <f>'Прил 5'!S98</f>
        <v>0</v>
      </c>
      <c r="E109" s="131" t="e">
        <f>'Прил 5'!#REF!</f>
        <v>#REF!</v>
      </c>
      <c r="F109" s="131" t="e">
        <f>'Прил 5'!#REF!</f>
        <v>#REF!</v>
      </c>
    </row>
    <row r="110" spans="1:6" s="80" customFormat="1" ht="31.15" hidden="1" x14ac:dyDescent="0.3">
      <c r="A110" s="78" t="s">
        <v>659</v>
      </c>
      <c r="B110" s="79" t="s">
        <v>1002</v>
      </c>
      <c r="C110" s="79" t="s">
        <v>9</v>
      </c>
      <c r="D110" s="131">
        <f>D111</f>
        <v>0</v>
      </c>
      <c r="E110" s="131"/>
      <c r="F110" s="131"/>
    </row>
    <row r="111" spans="1:6" s="80" customFormat="1" ht="15.6" hidden="1" x14ac:dyDescent="0.3">
      <c r="A111" s="74" t="s">
        <v>124</v>
      </c>
      <c r="B111" s="75" t="s">
        <v>1002</v>
      </c>
      <c r="C111" s="75" t="s">
        <v>117</v>
      </c>
      <c r="D111" s="131">
        <f>'Прил 5'!S100</f>
        <v>0</v>
      </c>
      <c r="E111" s="131"/>
      <c r="F111" s="131"/>
    </row>
    <row r="112" spans="1:6" s="80" customFormat="1" ht="31.15" hidden="1" x14ac:dyDescent="0.3">
      <c r="A112" s="78" t="s">
        <v>811</v>
      </c>
      <c r="B112" s="79" t="s">
        <v>810</v>
      </c>
      <c r="C112" s="79" t="s">
        <v>9</v>
      </c>
      <c r="D112" s="132">
        <f>D113</f>
        <v>0</v>
      </c>
      <c r="E112" s="132" t="e">
        <f>E113</f>
        <v>#REF!</v>
      </c>
      <c r="F112" s="132" t="e">
        <f>F113</f>
        <v>#REF!</v>
      </c>
    </row>
    <row r="113" spans="1:6" s="80" customFormat="1" ht="15.6" hidden="1" x14ac:dyDescent="0.3">
      <c r="A113" s="74" t="s">
        <v>124</v>
      </c>
      <c r="B113" s="75" t="s">
        <v>810</v>
      </c>
      <c r="C113" s="75" t="s">
        <v>117</v>
      </c>
      <c r="D113" s="131">
        <f>'Прил 5'!S143</f>
        <v>0</v>
      </c>
      <c r="E113" s="131" t="e">
        <f>'Прил 5'!#REF!</f>
        <v>#REF!</v>
      </c>
      <c r="F113" s="131" t="e">
        <f>'Прил 5'!#REF!</f>
        <v>#REF!</v>
      </c>
    </row>
    <row r="114" spans="1:6" s="80" customFormat="1" x14ac:dyDescent="0.25">
      <c r="A114" s="78" t="s">
        <v>1143</v>
      </c>
      <c r="B114" s="79" t="s">
        <v>1144</v>
      </c>
      <c r="C114" s="79" t="s">
        <v>9</v>
      </c>
      <c r="D114" s="131">
        <f>D115</f>
        <v>1909.798</v>
      </c>
      <c r="E114" s="131"/>
      <c r="F114" s="131"/>
    </row>
    <row r="115" spans="1:6" s="80" customFormat="1" ht="47.25" x14ac:dyDescent="0.25">
      <c r="A115" s="78" t="s">
        <v>1145</v>
      </c>
      <c r="B115" s="79" t="s">
        <v>1146</v>
      </c>
      <c r="C115" s="79" t="s">
        <v>9</v>
      </c>
      <c r="D115" s="131">
        <f>D116</f>
        <v>1909.798</v>
      </c>
      <c r="E115" s="131"/>
      <c r="F115" s="131"/>
    </row>
    <row r="116" spans="1:6" s="80" customFormat="1" ht="47.25" x14ac:dyDescent="0.25">
      <c r="A116" s="74" t="s">
        <v>115</v>
      </c>
      <c r="B116" s="75" t="s">
        <v>1146</v>
      </c>
      <c r="C116" s="75" t="s">
        <v>113</v>
      </c>
      <c r="D116" s="131">
        <f>'Прил 5'!S103</f>
        <v>1909.798</v>
      </c>
      <c r="E116" s="131"/>
      <c r="F116" s="131"/>
    </row>
    <row r="117" spans="1:6" s="77" customFormat="1" ht="47.25" x14ac:dyDescent="0.25">
      <c r="A117" s="78" t="s">
        <v>646</v>
      </c>
      <c r="B117" s="79" t="s">
        <v>491</v>
      </c>
      <c r="C117" s="79" t="s">
        <v>9</v>
      </c>
      <c r="D117" s="132">
        <f>D118</f>
        <v>8.3949999999999996</v>
      </c>
      <c r="E117" s="132" t="e">
        <f>E118</f>
        <v>#REF!</v>
      </c>
      <c r="F117" s="132" t="e">
        <f>F118</f>
        <v>#REF!</v>
      </c>
    </row>
    <row r="118" spans="1:6" s="80" customFormat="1" x14ac:dyDescent="0.25">
      <c r="A118" s="74" t="s">
        <v>124</v>
      </c>
      <c r="B118" s="75" t="s">
        <v>491</v>
      </c>
      <c r="C118" s="75" t="s">
        <v>117</v>
      </c>
      <c r="D118" s="131">
        <f>'Прил 5'!S150+'Прил 5'!S165</f>
        <v>8.3949999999999996</v>
      </c>
      <c r="E118" s="131" t="e">
        <f>'Прил 5'!#REF!</f>
        <v>#REF!</v>
      </c>
      <c r="F118" s="131" t="e">
        <f>'Прил 5'!#REF!</f>
        <v>#REF!</v>
      </c>
    </row>
    <row r="119" spans="1:6" s="77" customFormat="1" ht="47.25" x14ac:dyDescent="0.25">
      <c r="A119" s="78" t="s">
        <v>808</v>
      </c>
      <c r="B119" s="79" t="s">
        <v>809</v>
      </c>
      <c r="C119" s="79" t="s">
        <v>9</v>
      </c>
      <c r="D119" s="132">
        <f>D120</f>
        <v>112.79999999999998</v>
      </c>
      <c r="E119" s="132" t="e">
        <f>E120</f>
        <v>#REF!</v>
      </c>
      <c r="F119" s="132" t="e">
        <f>F120</f>
        <v>#REF!</v>
      </c>
    </row>
    <row r="120" spans="1:6" s="80" customFormat="1" x14ac:dyDescent="0.25">
      <c r="A120" s="74" t="s">
        <v>124</v>
      </c>
      <c r="B120" s="75" t="s">
        <v>809</v>
      </c>
      <c r="C120" s="75" t="s">
        <v>117</v>
      </c>
      <c r="D120" s="131">
        <f>'Прил 5'!S105+'Прил 5'!S45+'Прил 5'!S139</f>
        <v>112.79999999999998</v>
      </c>
      <c r="E120" s="131" t="e">
        <f>'Прил 5'!#REF!+'Прил 5'!#REF!</f>
        <v>#REF!</v>
      </c>
      <c r="F120" s="131" t="e">
        <f>'Прил 5'!#REF!+'Прил 5'!#REF!</f>
        <v>#REF!</v>
      </c>
    </row>
    <row r="121" spans="1:6" s="80" customFormat="1" ht="31.5" x14ac:dyDescent="0.25">
      <c r="A121" s="267" t="s">
        <v>1162</v>
      </c>
      <c r="B121" s="79" t="s">
        <v>1163</v>
      </c>
      <c r="C121" s="79" t="s">
        <v>9</v>
      </c>
      <c r="D121" s="131">
        <f>D122</f>
        <v>60.5</v>
      </c>
      <c r="E121" s="131"/>
      <c r="F121" s="131"/>
    </row>
    <row r="122" spans="1:6" s="80" customFormat="1" x14ac:dyDescent="0.25">
      <c r="A122" s="264" t="s">
        <v>124</v>
      </c>
      <c r="B122" s="75" t="s">
        <v>1163</v>
      </c>
      <c r="C122" s="75" t="s">
        <v>117</v>
      </c>
      <c r="D122" s="131">
        <f>'Прил 5'!S107</f>
        <v>60.5</v>
      </c>
      <c r="E122" s="131"/>
      <c r="F122" s="131"/>
    </row>
    <row r="123" spans="1:6" s="80" customFormat="1" ht="47.25" x14ac:dyDescent="0.25">
      <c r="A123" s="78" t="s">
        <v>853</v>
      </c>
      <c r="B123" s="79" t="s">
        <v>854</v>
      </c>
      <c r="C123" s="79" t="s">
        <v>9</v>
      </c>
      <c r="D123" s="132">
        <f>D124</f>
        <v>10688.7</v>
      </c>
      <c r="E123" s="131"/>
      <c r="F123" s="131"/>
    </row>
    <row r="124" spans="1:6" s="80" customFormat="1" x14ac:dyDescent="0.25">
      <c r="A124" s="74" t="s">
        <v>124</v>
      </c>
      <c r="B124" s="75" t="s">
        <v>854</v>
      </c>
      <c r="C124" s="75" t="s">
        <v>117</v>
      </c>
      <c r="D124" s="131">
        <f>'Прил 5'!S112</f>
        <v>10688.7</v>
      </c>
      <c r="E124" s="131"/>
      <c r="F124" s="131"/>
    </row>
    <row r="125" spans="1:6" s="80" customFormat="1" ht="78.75" x14ac:dyDescent="0.25">
      <c r="A125" s="78" t="s">
        <v>1152</v>
      </c>
      <c r="B125" s="79" t="s">
        <v>855</v>
      </c>
      <c r="C125" s="79" t="s">
        <v>9</v>
      </c>
      <c r="D125" s="132">
        <f>D126</f>
        <v>12967.9</v>
      </c>
      <c r="E125" s="131"/>
      <c r="F125" s="131"/>
    </row>
    <row r="126" spans="1:6" s="80" customFormat="1" ht="47.25" x14ac:dyDescent="0.25">
      <c r="A126" s="74" t="s">
        <v>115</v>
      </c>
      <c r="B126" s="75" t="s">
        <v>855</v>
      </c>
      <c r="C126" s="75" t="s">
        <v>113</v>
      </c>
      <c r="D126" s="131">
        <f>'Прил 5'!S114</f>
        <v>12967.9</v>
      </c>
      <c r="E126" s="131"/>
      <c r="F126" s="131"/>
    </row>
    <row r="127" spans="1:6" s="80" customFormat="1" ht="31.5" x14ac:dyDescent="0.25">
      <c r="A127" s="78" t="s">
        <v>785</v>
      </c>
      <c r="B127" s="79" t="s">
        <v>389</v>
      </c>
      <c r="C127" s="79" t="s">
        <v>9</v>
      </c>
      <c r="D127" s="132">
        <f>D130+D137+D144+D147+D157+D166+D168+D172+D170+D128+D178+D176+D174+D142+D180+D154</f>
        <v>62193.521980000005</v>
      </c>
      <c r="E127" s="132" t="e">
        <f>E130+E137+E144+E147+E157+E166+E168+E172+E170+#REF!+E178+E176+E174</f>
        <v>#REF!</v>
      </c>
      <c r="F127" s="132" t="e">
        <f>F130+F137+F144+F147+F157+F166+F168+F172+F170+#REF!+F178+F176+F174</f>
        <v>#REF!</v>
      </c>
    </row>
    <row r="128" spans="1:6" s="80" customFormat="1" ht="31.15" hidden="1" x14ac:dyDescent="0.3">
      <c r="A128" s="78" t="s">
        <v>952</v>
      </c>
      <c r="B128" s="79" t="s">
        <v>953</v>
      </c>
      <c r="C128" s="79" t="s">
        <v>9</v>
      </c>
      <c r="D128" s="132">
        <f>D129</f>
        <v>0</v>
      </c>
      <c r="E128" s="132" t="e">
        <f>E129</f>
        <v>#REF!</v>
      </c>
      <c r="F128" s="132" t="e">
        <f>F129</f>
        <v>#REF!</v>
      </c>
    </row>
    <row r="129" spans="1:6" s="77" customFormat="1" ht="15.6" hidden="1" x14ac:dyDescent="0.3">
      <c r="A129" s="74" t="s">
        <v>123</v>
      </c>
      <c r="B129" s="75" t="s">
        <v>953</v>
      </c>
      <c r="C129" s="75" t="s">
        <v>119</v>
      </c>
      <c r="D129" s="131">
        <f>'Прил 5'!S285</f>
        <v>0</v>
      </c>
      <c r="E129" s="133" t="e">
        <f>'Прил 5'!#REF!</f>
        <v>#REF!</v>
      </c>
      <c r="F129" s="133" t="e">
        <f>'Прил 5'!#REF!</f>
        <v>#REF!</v>
      </c>
    </row>
    <row r="130" spans="1:6" s="80" customFormat="1" ht="31.15" hidden="1" x14ac:dyDescent="0.3">
      <c r="A130" s="78" t="s">
        <v>41</v>
      </c>
      <c r="B130" s="79" t="s">
        <v>399</v>
      </c>
      <c r="C130" s="79" t="s">
        <v>9</v>
      </c>
      <c r="D130" s="132">
        <f>D131+D135+D133</f>
        <v>0</v>
      </c>
      <c r="E130" s="132" t="e">
        <f t="shared" ref="D130:F131" si="0">E131</f>
        <v>#REF!</v>
      </c>
      <c r="F130" s="132" t="e">
        <f t="shared" si="0"/>
        <v>#REF!</v>
      </c>
    </row>
    <row r="131" spans="1:6" s="80" customFormat="1" ht="31.15" hidden="1" x14ac:dyDescent="0.3">
      <c r="A131" s="78" t="s">
        <v>464</v>
      </c>
      <c r="B131" s="79" t="s">
        <v>463</v>
      </c>
      <c r="C131" s="79" t="s">
        <v>9</v>
      </c>
      <c r="D131" s="132">
        <f t="shared" si="0"/>
        <v>0</v>
      </c>
      <c r="E131" s="132" t="e">
        <f t="shared" si="0"/>
        <v>#REF!</v>
      </c>
      <c r="F131" s="132" t="e">
        <f t="shared" si="0"/>
        <v>#REF!</v>
      </c>
    </row>
    <row r="132" spans="1:6" s="77" customFormat="1" ht="15.6" hidden="1" x14ac:dyDescent="0.3">
      <c r="A132" s="74" t="s">
        <v>123</v>
      </c>
      <c r="B132" s="75" t="s">
        <v>463</v>
      </c>
      <c r="C132" s="75" t="s">
        <v>119</v>
      </c>
      <c r="D132" s="131">
        <f>'Прил 5'!S288</f>
        <v>0</v>
      </c>
      <c r="E132" s="131" t="e">
        <f>'Прил 5'!#REF!</f>
        <v>#REF!</v>
      </c>
      <c r="F132" s="131" t="e">
        <f>'Прил 5'!#REF!</f>
        <v>#REF!</v>
      </c>
    </row>
    <row r="133" spans="1:6" s="77" customFormat="1" ht="31.15" hidden="1" x14ac:dyDescent="0.3">
      <c r="A133" s="78" t="s">
        <v>954</v>
      </c>
      <c r="B133" s="79" t="s">
        <v>955</v>
      </c>
      <c r="C133" s="79" t="s">
        <v>9</v>
      </c>
      <c r="D133" s="132">
        <f>D134</f>
        <v>0</v>
      </c>
      <c r="E133" s="131"/>
      <c r="F133" s="131"/>
    </row>
    <row r="134" spans="1:6" s="77" customFormat="1" ht="15.6" hidden="1" x14ac:dyDescent="0.3">
      <c r="A134" s="74" t="s">
        <v>123</v>
      </c>
      <c r="B134" s="75" t="s">
        <v>955</v>
      </c>
      <c r="C134" s="75" t="s">
        <v>119</v>
      </c>
      <c r="D134" s="131">
        <f>'Прил 5'!S290</f>
        <v>0</v>
      </c>
      <c r="E134" s="131"/>
      <c r="F134" s="131"/>
    </row>
    <row r="135" spans="1:6" s="77" customFormat="1" ht="31.15" hidden="1" x14ac:dyDescent="0.3">
      <c r="A135" s="78" t="s">
        <v>848</v>
      </c>
      <c r="B135" s="79" t="s">
        <v>806</v>
      </c>
      <c r="C135" s="79" t="s">
        <v>9</v>
      </c>
      <c r="D135" s="132">
        <f>D136</f>
        <v>0</v>
      </c>
      <c r="E135" s="131"/>
      <c r="F135" s="131"/>
    </row>
    <row r="136" spans="1:6" s="77" customFormat="1" ht="15.6" hidden="1" x14ac:dyDescent="0.3">
      <c r="A136" s="74" t="s">
        <v>123</v>
      </c>
      <c r="B136" s="75" t="s">
        <v>806</v>
      </c>
      <c r="C136" s="75" t="s">
        <v>119</v>
      </c>
      <c r="D136" s="131">
        <f>'Прил 5'!S292</f>
        <v>0</v>
      </c>
      <c r="E136" s="131"/>
      <c r="F136" s="131"/>
    </row>
    <row r="137" spans="1:6" s="80" customFormat="1" ht="47.25" x14ac:dyDescent="0.25">
      <c r="A137" s="78" t="s">
        <v>1110</v>
      </c>
      <c r="B137" s="79" t="s">
        <v>396</v>
      </c>
      <c r="C137" s="79" t="s">
        <v>9</v>
      </c>
      <c r="D137" s="132">
        <f>D138+D140</f>
        <v>5466</v>
      </c>
      <c r="E137" s="132" t="e">
        <f>E138+E140</f>
        <v>#REF!</v>
      </c>
      <c r="F137" s="132" t="e">
        <f>F138+F140</f>
        <v>#REF!</v>
      </c>
    </row>
    <row r="138" spans="1:6" s="77" customFormat="1" x14ac:dyDescent="0.25">
      <c r="A138" s="78" t="s">
        <v>65</v>
      </c>
      <c r="B138" s="79" t="s">
        <v>401</v>
      </c>
      <c r="C138" s="79" t="s">
        <v>9</v>
      </c>
      <c r="D138" s="132">
        <f>D139</f>
        <v>5466</v>
      </c>
      <c r="E138" s="132" t="e">
        <f>E139</f>
        <v>#REF!</v>
      </c>
      <c r="F138" s="132" t="e">
        <f>F139</f>
        <v>#REF!</v>
      </c>
    </row>
    <row r="139" spans="1:6" s="77" customFormat="1" x14ac:dyDescent="0.25">
      <c r="A139" s="74" t="s">
        <v>123</v>
      </c>
      <c r="B139" s="75" t="s">
        <v>401</v>
      </c>
      <c r="C139" s="75" t="s">
        <v>119</v>
      </c>
      <c r="D139" s="131">
        <f>'Прил 5'!S279</f>
        <v>5466</v>
      </c>
      <c r="E139" s="131" t="e">
        <f>'Прил 5'!#REF!</f>
        <v>#REF!</v>
      </c>
      <c r="F139" s="131" t="e">
        <f>'Прил 5'!#REF!</f>
        <v>#REF!</v>
      </c>
    </row>
    <row r="140" spans="1:6" s="80" customFormat="1" ht="15.6" hidden="1" x14ac:dyDescent="0.3">
      <c r="A140" s="78" t="s">
        <v>1112</v>
      </c>
      <c r="B140" s="79" t="s">
        <v>397</v>
      </c>
      <c r="C140" s="79" t="s">
        <v>9</v>
      </c>
      <c r="D140" s="132">
        <f>D141</f>
        <v>0</v>
      </c>
      <c r="E140" s="132" t="e">
        <f>E141</f>
        <v>#REF!</v>
      </c>
      <c r="F140" s="132" t="e">
        <f>F141</f>
        <v>#REF!</v>
      </c>
    </row>
    <row r="141" spans="1:6" s="80" customFormat="1" ht="15.6" hidden="1" x14ac:dyDescent="0.3">
      <c r="A141" s="74" t="s">
        <v>123</v>
      </c>
      <c r="B141" s="75" t="s">
        <v>397</v>
      </c>
      <c r="C141" s="75" t="s">
        <v>119</v>
      </c>
      <c r="D141" s="131">
        <f>'Прил 5'!S232</f>
        <v>0</v>
      </c>
      <c r="E141" s="131" t="e">
        <f>'Прил 5'!#REF!</f>
        <v>#REF!</v>
      </c>
      <c r="F141" s="131" t="e">
        <f>'Прил 5'!#REF!</f>
        <v>#REF!</v>
      </c>
    </row>
    <row r="142" spans="1:6" s="80" customFormat="1" ht="31.15" hidden="1" x14ac:dyDescent="0.3">
      <c r="A142" s="78" t="s">
        <v>956</v>
      </c>
      <c r="B142" s="79" t="s">
        <v>957</v>
      </c>
      <c r="C142" s="79" t="s">
        <v>9</v>
      </c>
      <c r="D142" s="132">
        <f>D143</f>
        <v>0</v>
      </c>
      <c r="E142" s="131"/>
      <c r="F142" s="131"/>
    </row>
    <row r="143" spans="1:6" s="80" customFormat="1" ht="15.6" hidden="1" x14ac:dyDescent="0.3">
      <c r="A143" s="74" t="s">
        <v>123</v>
      </c>
      <c r="B143" s="75" t="s">
        <v>957</v>
      </c>
      <c r="C143" s="75" t="s">
        <v>119</v>
      </c>
      <c r="D143" s="131">
        <f>'Прил 5'!S293</f>
        <v>0</v>
      </c>
      <c r="E143" s="131"/>
      <c r="F143" s="131"/>
    </row>
    <row r="144" spans="1:6" s="80" customFormat="1" x14ac:dyDescent="0.25">
      <c r="A144" s="78" t="s">
        <v>127</v>
      </c>
      <c r="B144" s="79" t="s">
        <v>392</v>
      </c>
      <c r="C144" s="79" t="s">
        <v>9</v>
      </c>
      <c r="D144" s="132">
        <f t="shared" ref="D144:F145" si="1">D145</f>
        <v>310</v>
      </c>
      <c r="E144" s="132" t="e">
        <f t="shared" si="1"/>
        <v>#REF!</v>
      </c>
      <c r="F144" s="132" t="e">
        <f t="shared" si="1"/>
        <v>#REF!</v>
      </c>
    </row>
    <row r="145" spans="1:6" s="80" customFormat="1" ht="31.5" x14ac:dyDescent="0.25">
      <c r="A145" s="78" t="s">
        <v>16</v>
      </c>
      <c r="B145" s="79" t="s">
        <v>393</v>
      </c>
      <c r="C145" s="79" t="s">
        <v>9</v>
      </c>
      <c r="D145" s="132">
        <f t="shared" si="1"/>
        <v>310</v>
      </c>
      <c r="E145" s="132" t="e">
        <f t="shared" si="1"/>
        <v>#REF!</v>
      </c>
      <c r="F145" s="132" t="e">
        <f t="shared" si="1"/>
        <v>#REF!</v>
      </c>
    </row>
    <row r="146" spans="1:6" s="77" customFormat="1" ht="47.25" x14ac:dyDescent="0.25">
      <c r="A146" s="74" t="s">
        <v>115</v>
      </c>
      <c r="B146" s="75" t="s">
        <v>393</v>
      </c>
      <c r="C146" s="75" t="s">
        <v>113</v>
      </c>
      <c r="D146" s="131">
        <f>'Прил 5'!S215</f>
        <v>310</v>
      </c>
      <c r="E146" s="131" t="e">
        <f>'Прил 5'!#REF!</f>
        <v>#REF!</v>
      </c>
      <c r="F146" s="131" t="e">
        <f>'Прил 5'!#REF!</f>
        <v>#REF!</v>
      </c>
    </row>
    <row r="147" spans="1:6" s="80" customFormat="1" x14ac:dyDescent="0.25">
      <c r="A147" s="78" t="s">
        <v>700</v>
      </c>
      <c r="B147" s="79" t="s">
        <v>390</v>
      </c>
      <c r="C147" s="79" t="s">
        <v>9</v>
      </c>
      <c r="D147" s="132">
        <f>D148+D151</f>
        <v>6417.2219800000003</v>
      </c>
      <c r="E147" s="132" t="e">
        <f>E148</f>
        <v>#REF!</v>
      </c>
      <c r="F147" s="132" t="e">
        <f>F148</f>
        <v>#REF!</v>
      </c>
    </row>
    <row r="148" spans="1:6" s="80" customFormat="1" x14ac:dyDescent="0.25">
      <c r="A148" s="78" t="s">
        <v>26</v>
      </c>
      <c r="B148" s="79" t="s">
        <v>391</v>
      </c>
      <c r="C148" s="79" t="s">
        <v>9</v>
      </c>
      <c r="D148" s="132">
        <f>D149+D150</f>
        <v>5674.7</v>
      </c>
      <c r="E148" s="132" t="e">
        <f>E149+E150</f>
        <v>#REF!</v>
      </c>
      <c r="F148" s="132" t="e">
        <f>F149+F150</f>
        <v>#REF!</v>
      </c>
    </row>
    <row r="149" spans="1:6" s="77" customFormat="1" ht="47.25" x14ac:dyDescent="0.25">
      <c r="A149" s="74" t="s">
        <v>115</v>
      </c>
      <c r="B149" s="75" t="s">
        <v>391</v>
      </c>
      <c r="C149" s="75" t="s">
        <v>113</v>
      </c>
      <c r="D149" s="131">
        <f>'Прил 5'!S211+'Прил 5'!S263</f>
        <v>5620.3</v>
      </c>
      <c r="E149" s="131" t="e">
        <f>'Прил 5'!#REF!+'Прил 5'!#REF!</f>
        <v>#REF!</v>
      </c>
      <c r="F149" s="131" t="e">
        <f>'Прил 5'!#REF!+'Прил 5'!#REF!</f>
        <v>#REF!</v>
      </c>
    </row>
    <row r="150" spans="1:6" s="80" customFormat="1" x14ac:dyDescent="0.25">
      <c r="A150" s="74" t="s">
        <v>124</v>
      </c>
      <c r="B150" s="75" t="s">
        <v>391</v>
      </c>
      <c r="C150" s="75" t="s">
        <v>117</v>
      </c>
      <c r="D150" s="131">
        <f>'Прил 5'!S212</f>
        <v>54.4</v>
      </c>
      <c r="E150" s="131" t="e">
        <f>'Прил 5'!#REF!</f>
        <v>#REF!</v>
      </c>
      <c r="F150" s="131" t="e">
        <f>'Прил 5'!#REF!</f>
        <v>#REF!</v>
      </c>
    </row>
    <row r="151" spans="1:6" s="80" customFormat="1" ht="31.5" x14ac:dyDescent="0.25">
      <c r="A151" s="78" t="s">
        <v>950</v>
      </c>
      <c r="B151" s="79" t="s">
        <v>951</v>
      </c>
      <c r="C151" s="79" t="s">
        <v>9</v>
      </c>
      <c r="D151" s="132">
        <f>D153+D152</f>
        <v>742.52197999999999</v>
      </c>
      <c r="E151" s="131"/>
      <c r="F151" s="131"/>
    </row>
    <row r="152" spans="1:6" s="80" customFormat="1" ht="46.9" hidden="1" x14ac:dyDescent="0.3">
      <c r="A152" s="74" t="s">
        <v>115</v>
      </c>
      <c r="B152" s="75" t="s">
        <v>951</v>
      </c>
      <c r="C152" s="75" t="s">
        <v>113</v>
      </c>
      <c r="D152" s="131">
        <f>'Прил 5'!S225</f>
        <v>0</v>
      </c>
      <c r="E152" s="131"/>
      <c r="F152" s="131"/>
    </row>
    <row r="153" spans="1:6" s="80" customFormat="1" x14ac:dyDescent="0.25">
      <c r="A153" s="74" t="s">
        <v>124</v>
      </c>
      <c r="B153" s="75" t="s">
        <v>951</v>
      </c>
      <c r="C153" s="75" t="s">
        <v>117</v>
      </c>
      <c r="D153" s="131">
        <f>'Прил 5'!S226</f>
        <v>742.52197999999999</v>
      </c>
      <c r="E153" s="131"/>
      <c r="F153" s="131"/>
    </row>
    <row r="154" spans="1:6" s="80" customFormat="1" x14ac:dyDescent="0.25">
      <c r="A154" s="267" t="s">
        <v>1178</v>
      </c>
      <c r="B154" s="79" t="s">
        <v>1179</v>
      </c>
      <c r="C154" s="79" t="s">
        <v>9</v>
      </c>
      <c r="D154" s="131">
        <f>D155+D156</f>
        <v>2551.2999999999997</v>
      </c>
      <c r="E154" s="131"/>
      <c r="F154" s="131"/>
    </row>
    <row r="155" spans="1:6" s="80" customFormat="1" ht="47.25" x14ac:dyDescent="0.25">
      <c r="A155" s="74" t="s">
        <v>115</v>
      </c>
      <c r="B155" s="75" t="s">
        <v>1179</v>
      </c>
      <c r="C155" s="75" t="s">
        <v>113</v>
      </c>
      <c r="D155" s="131">
        <f>'Прил 5'!S228</f>
        <v>2135.6999999999998</v>
      </c>
      <c r="E155" s="131"/>
      <c r="F155" s="131"/>
    </row>
    <row r="156" spans="1:6" s="80" customFormat="1" x14ac:dyDescent="0.25">
      <c r="A156" s="264" t="s">
        <v>124</v>
      </c>
      <c r="B156" s="75" t="s">
        <v>1179</v>
      </c>
      <c r="C156" s="75" t="s">
        <v>117</v>
      </c>
      <c r="D156" s="131">
        <f>'Прил 5'!S229</f>
        <v>415.6</v>
      </c>
      <c r="E156" s="131"/>
      <c r="F156" s="131"/>
    </row>
    <row r="157" spans="1:6" s="77" customFormat="1" ht="31.5" x14ac:dyDescent="0.25">
      <c r="A157" s="78" t="s">
        <v>208</v>
      </c>
      <c r="B157" s="79" t="s">
        <v>402</v>
      </c>
      <c r="C157" s="79" t="s">
        <v>9</v>
      </c>
      <c r="D157" s="132">
        <f>D158+D160+D164+D162</f>
        <v>43749</v>
      </c>
      <c r="E157" s="132" t="e">
        <f>E158+E160+E164</f>
        <v>#REF!</v>
      </c>
      <c r="F157" s="132" t="e">
        <f>F158+F160+F164</f>
        <v>#REF!</v>
      </c>
    </row>
    <row r="158" spans="1:6" s="77" customFormat="1" ht="15.6" hidden="1" x14ac:dyDescent="0.3">
      <c r="A158" s="78" t="s">
        <v>821</v>
      </c>
      <c r="B158" s="79" t="s">
        <v>520</v>
      </c>
      <c r="C158" s="79" t="s">
        <v>9</v>
      </c>
      <c r="D158" s="132">
        <f>D159</f>
        <v>0</v>
      </c>
      <c r="E158" s="132" t="e">
        <f>E159</f>
        <v>#REF!</v>
      </c>
      <c r="F158" s="132" t="e">
        <f>F159</f>
        <v>#REF!</v>
      </c>
    </row>
    <row r="159" spans="1:6" s="80" customFormat="1" ht="15.6" hidden="1" x14ac:dyDescent="0.3">
      <c r="A159" s="74" t="s">
        <v>123</v>
      </c>
      <c r="B159" s="75" t="s">
        <v>520</v>
      </c>
      <c r="C159" s="75" t="s">
        <v>119</v>
      </c>
      <c r="D159" s="131">
        <f>'Прил 5'!S297</f>
        <v>0</v>
      </c>
      <c r="E159" s="131" t="e">
        <f>'Прил 5'!#REF!</f>
        <v>#REF!</v>
      </c>
      <c r="F159" s="131" t="e">
        <f>'Прил 5'!#REF!</f>
        <v>#REF!</v>
      </c>
    </row>
    <row r="160" spans="1:6" s="80" customFormat="1" x14ac:dyDescent="0.25">
      <c r="A160" s="78" t="s">
        <v>66</v>
      </c>
      <c r="B160" s="79" t="s">
        <v>403</v>
      </c>
      <c r="C160" s="79" t="s">
        <v>9</v>
      </c>
      <c r="D160" s="132">
        <f>D161</f>
        <v>43515</v>
      </c>
      <c r="E160" s="132" t="e">
        <f>E161</f>
        <v>#REF!</v>
      </c>
      <c r="F160" s="132" t="e">
        <f>F161</f>
        <v>#REF!</v>
      </c>
    </row>
    <row r="161" spans="1:6" s="80" customFormat="1" x14ac:dyDescent="0.25">
      <c r="A161" s="74" t="s">
        <v>123</v>
      </c>
      <c r="B161" s="75" t="s">
        <v>403</v>
      </c>
      <c r="C161" s="75" t="s">
        <v>119</v>
      </c>
      <c r="D161" s="131">
        <f>'Прил 5'!S299</f>
        <v>43515</v>
      </c>
      <c r="E161" s="131" t="e">
        <f>'Прил 5'!#REF!</f>
        <v>#REF!</v>
      </c>
      <c r="F161" s="131" t="e">
        <f>'Прил 5'!#REF!</f>
        <v>#REF!</v>
      </c>
    </row>
    <row r="162" spans="1:6" s="80" customFormat="1" ht="46.9" hidden="1" x14ac:dyDescent="0.3">
      <c r="A162" s="78" t="s">
        <v>1046</v>
      </c>
      <c r="B162" s="79" t="s">
        <v>1047</v>
      </c>
      <c r="C162" s="79" t="s">
        <v>9</v>
      </c>
      <c r="D162" s="131">
        <f>D163</f>
        <v>0</v>
      </c>
      <c r="E162" s="131"/>
      <c r="F162" s="131"/>
    </row>
    <row r="163" spans="1:6" s="80" customFormat="1" ht="15.6" hidden="1" x14ac:dyDescent="0.3">
      <c r="A163" s="74" t="s">
        <v>123</v>
      </c>
      <c r="B163" s="75" t="s">
        <v>1047</v>
      </c>
      <c r="C163" s="75" t="s">
        <v>119</v>
      </c>
      <c r="D163" s="131">
        <f>'Прил 5'!S301</f>
        <v>0</v>
      </c>
      <c r="E163" s="131"/>
      <c r="F163" s="131"/>
    </row>
    <row r="164" spans="1:6" s="77" customFormat="1" x14ac:dyDescent="0.25">
      <c r="A164" s="78" t="s">
        <v>65</v>
      </c>
      <c r="B164" s="79" t="s">
        <v>521</v>
      </c>
      <c r="C164" s="79" t="s">
        <v>9</v>
      </c>
      <c r="D164" s="132">
        <f>D165</f>
        <v>234</v>
      </c>
      <c r="E164" s="132" t="e">
        <f>E165</f>
        <v>#REF!</v>
      </c>
      <c r="F164" s="132" t="e">
        <f>F165</f>
        <v>#REF!</v>
      </c>
    </row>
    <row r="165" spans="1:6" s="77" customFormat="1" x14ac:dyDescent="0.25">
      <c r="A165" s="74" t="s">
        <v>123</v>
      </c>
      <c r="B165" s="75" t="s">
        <v>521</v>
      </c>
      <c r="C165" s="75" t="s">
        <v>119</v>
      </c>
      <c r="D165" s="131">
        <f>'Прил 5'!S281</f>
        <v>234</v>
      </c>
      <c r="E165" s="131" t="e">
        <f>'Прил 5'!#REF!</f>
        <v>#REF!</v>
      </c>
      <c r="F165" s="131" t="e">
        <f>'Прил 5'!#REF!</f>
        <v>#REF!</v>
      </c>
    </row>
    <row r="166" spans="1:6" s="77" customFormat="1" x14ac:dyDescent="0.25">
      <c r="A166" s="78" t="s">
        <v>61</v>
      </c>
      <c r="B166" s="79" t="s">
        <v>400</v>
      </c>
      <c r="C166" s="79" t="s">
        <v>9</v>
      </c>
      <c r="D166" s="132">
        <f>D167</f>
        <v>3700</v>
      </c>
      <c r="E166" s="132" t="e">
        <f>E167</f>
        <v>#REF!</v>
      </c>
      <c r="F166" s="132" t="e">
        <f>F167</f>
        <v>#REF!</v>
      </c>
    </row>
    <row r="167" spans="1:6" s="77" customFormat="1" x14ac:dyDescent="0.25">
      <c r="A167" s="74" t="s">
        <v>126</v>
      </c>
      <c r="B167" s="75" t="s">
        <v>400</v>
      </c>
      <c r="C167" s="75" t="s">
        <v>120</v>
      </c>
      <c r="D167" s="131">
        <f>'Прил 5'!S273+'Прил 5'!S877</f>
        <v>3700</v>
      </c>
      <c r="E167" s="131" t="e">
        <f>'Прил 5'!#REF!</f>
        <v>#REF!</v>
      </c>
      <c r="F167" s="131" t="e">
        <f>'Прил 5'!#REF!</f>
        <v>#REF!</v>
      </c>
    </row>
    <row r="168" spans="1:6" s="77" customFormat="1" ht="31.15" hidden="1" x14ac:dyDescent="0.3">
      <c r="A168" s="78" t="s">
        <v>56</v>
      </c>
      <c r="B168" s="79" t="s">
        <v>398</v>
      </c>
      <c r="C168" s="79" t="s">
        <v>9</v>
      </c>
      <c r="D168" s="132">
        <f>D169</f>
        <v>0</v>
      </c>
      <c r="E168" s="132" t="e">
        <f>E169</f>
        <v>#REF!</v>
      </c>
      <c r="F168" s="132" t="e">
        <f>F169</f>
        <v>#REF!</v>
      </c>
    </row>
    <row r="169" spans="1:6" s="77" customFormat="1" ht="15.6" hidden="1" x14ac:dyDescent="0.3">
      <c r="A169" s="74" t="s">
        <v>123</v>
      </c>
      <c r="B169" s="75" t="s">
        <v>398</v>
      </c>
      <c r="C169" s="75" t="s">
        <v>119</v>
      </c>
      <c r="D169" s="131">
        <f>'Прил 5'!S239</f>
        <v>0</v>
      </c>
      <c r="E169" s="131" t="e">
        <f>'Прил 5'!#REF!</f>
        <v>#REF!</v>
      </c>
      <c r="F169" s="131" t="e">
        <f>'Прил 5'!#REF!</f>
        <v>#REF!</v>
      </c>
    </row>
    <row r="170" spans="1:6" s="77" customFormat="1" ht="46.9" hidden="1" x14ac:dyDescent="0.3">
      <c r="A170" s="78" t="s">
        <v>581</v>
      </c>
      <c r="B170" s="79" t="s">
        <v>580</v>
      </c>
      <c r="C170" s="79" t="s">
        <v>9</v>
      </c>
      <c r="D170" s="132">
        <f>D171</f>
        <v>0</v>
      </c>
      <c r="E170" s="132" t="e">
        <f>E171</f>
        <v>#REF!</v>
      </c>
      <c r="F170" s="132" t="e">
        <f>F171</f>
        <v>#REF!</v>
      </c>
    </row>
    <row r="171" spans="1:6" s="77" customFormat="1" ht="15.6" hidden="1" x14ac:dyDescent="0.3">
      <c r="A171" s="74" t="s">
        <v>123</v>
      </c>
      <c r="B171" s="75" t="s">
        <v>580</v>
      </c>
      <c r="C171" s="75" t="s">
        <v>119</v>
      </c>
      <c r="D171" s="131">
        <f>'Прил 5'!S244</f>
        <v>0</v>
      </c>
      <c r="E171" s="131" t="e">
        <f>'Прил 5'!#REF!</f>
        <v>#REF!</v>
      </c>
      <c r="F171" s="131" t="e">
        <f>'Прил 5'!#REF!</f>
        <v>#REF!</v>
      </c>
    </row>
    <row r="172" spans="1:6" s="77" customFormat="1" ht="18" hidden="1" x14ac:dyDescent="0.3">
      <c r="A172" s="126" t="s">
        <v>559</v>
      </c>
      <c r="B172" s="79" t="s">
        <v>558</v>
      </c>
      <c r="C172" s="79" t="s">
        <v>9</v>
      </c>
      <c r="D172" s="132">
        <f>D173</f>
        <v>0</v>
      </c>
      <c r="E172" s="132" t="e">
        <f>E173</f>
        <v>#REF!</v>
      </c>
      <c r="F172" s="132" t="e">
        <f>F173</f>
        <v>#REF!</v>
      </c>
    </row>
    <row r="173" spans="1:6" s="77" customFormat="1" ht="15.6" hidden="1" x14ac:dyDescent="0.3">
      <c r="A173" s="74" t="s">
        <v>116</v>
      </c>
      <c r="B173" s="75" t="s">
        <v>558</v>
      </c>
      <c r="C173" s="75" t="s">
        <v>114</v>
      </c>
      <c r="D173" s="131">
        <f>'Прил 5'!S234</f>
        <v>0</v>
      </c>
      <c r="E173" s="131" t="e">
        <f>'Прил 5'!#REF!</f>
        <v>#REF!</v>
      </c>
      <c r="F173" s="131" t="e">
        <f>'Прил 5'!#REF!</f>
        <v>#REF!</v>
      </c>
    </row>
    <row r="174" spans="1:6" s="80" customFormat="1" ht="31.15" hidden="1" x14ac:dyDescent="0.3">
      <c r="A174" s="78" t="s">
        <v>658</v>
      </c>
      <c r="B174" s="79" t="s">
        <v>657</v>
      </c>
      <c r="C174" s="79" t="s">
        <v>9</v>
      </c>
      <c r="D174" s="132">
        <f>D175</f>
        <v>0</v>
      </c>
      <c r="E174" s="132" t="e">
        <f>E175</f>
        <v>#REF!</v>
      </c>
      <c r="F174" s="132" t="e">
        <f>F175</f>
        <v>#REF!</v>
      </c>
    </row>
    <row r="175" spans="1:6" s="77" customFormat="1" ht="15.6" hidden="1" x14ac:dyDescent="0.3">
      <c r="A175" s="74" t="s">
        <v>123</v>
      </c>
      <c r="B175" s="75" t="s">
        <v>657</v>
      </c>
      <c r="C175" s="75" t="s">
        <v>119</v>
      </c>
      <c r="D175" s="131">
        <f>'Прил 5'!S268</f>
        <v>0</v>
      </c>
      <c r="E175" s="133" t="e">
        <f>'Прил 5'!#REF!</f>
        <v>#REF!</v>
      </c>
      <c r="F175" s="133" t="e">
        <f>'Прил 5'!#REF!</f>
        <v>#REF!</v>
      </c>
    </row>
    <row r="176" spans="1:6" s="80" customFormat="1" ht="15.6" hidden="1" x14ac:dyDescent="0.3">
      <c r="A176" s="78" t="s">
        <v>648</v>
      </c>
      <c r="B176" s="79" t="s">
        <v>647</v>
      </c>
      <c r="C176" s="79" t="s">
        <v>9</v>
      </c>
      <c r="D176" s="132">
        <f>D177</f>
        <v>0</v>
      </c>
      <c r="E176" s="132" t="e">
        <f>E177</f>
        <v>#REF!</v>
      </c>
      <c r="F176" s="132" t="e">
        <f>F177</f>
        <v>#REF!</v>
      </c>
    </row>
    <row r="177" spans="1:6" s="77" customFormat="1" ht="15.6" hidden="1" x14ac:dyDescent="0.3">
      <c r="A177" s="74" t="s">
        <v>123</v>
      </c>
      <c r="B177" s="75" t="s">
        <v>647</v>
      </c>
      <c r="C177" s="75" t="s">
        <v>119</v>
      </c>
      <c r="D177" s="131">
        <f>'Прил 5'!S248</f>
        <v>0</v>
      </c>
      <c r="E177" s="133" t="e">
        <f>'Прил 5'!#REF!</f>
        <v>#REF!</v>
      </c>
      <c r="F177" s="133" t="e">
        <f>'Прил 5'!#REF!</f>
        <v>#REF!</v>
      </c>
    </row>
    <row r="178" spans="1:6" s="80" customFormat="1" ht="15.6" hidden="1" x14ac:dyDescent="0.3">
      <c r="A178" s="78" t="s">
        <v>648</v>
      </c>
      <c r="B178" s="79" t="s">
        <v>650</v>
      </c>
      <c r="C178" s="79" t="s">
        <v>9</v>
      </c>
      <c r="D178" s="132">
        <f>D179</f>
        <v>0</v>
      </c>
      <c r="E178" s="132" t="e">
        <f>E179</f>
        <v>#REF!</v>
      </c>
      <c r="F178" s="132" t="e">
        <f>F179</f>
        <v>#REF!</v>
      </c>
    </row>
    <row r="179" spans="1:6" s="77" customFormat="1" ht="15.6" hidden="1" x14ac:dyDescent="0.3">
      <c r="A179" s="74" t="s">
        <v>123</v>
      </c>
      <c r="B179" s="75" t="s">
        <v>650</v>
      </c>
      <c r="C179" s="75" t="s">
        <v>119</v>
      </c>
      <c r="D179" s="131">
        <f>'Прил 5'!S252</f>
        <v>0</v>
      </c>
      <c r="E179" s="133" t="e">
        <f>'Прил 5'!#REF!</f>
        <v>#REF!</v>
      </c>
      <c r="F179" s="133" t="e">
        <f>'Прил 5'!#REF!</f>
        <v>#REF!</v>
      </c>
    </row>
    <row r="180" spans="1:6" s="80" customFormat="1" ht="31.15" hidden="1" x14ac:dyDescent="0.3">
      <c r="A180" s="78" t="s">
        <v>958</v>
      </c>
      <c r="B180" s="79" t="s">
        <v>959</v>
      </c>
      <c r="C180" s="79" t="s">
        <v>9</v>
      </c>
      <c r="D180" s="132">
        <f>D181</f>
        <v>0</v>
      </c>
      <c r="E180" s="270"/>
      <c r="F180" s="270"/>
    </row>
    <row r="181" spans="1:6" s="80" customFormat="1" ht="31.15" hidden="1" x14ac:dyDescent="0.3">
      <c r="A181" s="78" t="s">
        <v>960</v>
      </c>
      <c r="B181" s="79" t="s">
        <v>961</v>
      </c>
      <c r="C181" s="79" t="s">
        <v>9</v>
      </c>
      <c r="D181" s="132">
        <f>D182+D184</f>
        <v>0</v>
      </c>
      <c r="E181" s="270"/>
      <c r="F181" s="270"/>
    </row>
    <row r="182" spans="1:6" s="77" customFormat="1" ht="31.15" hidden="1" x14ac:dyDescent="0.3">
      <c r="A182" s="78" t="s">
        <v>962</v>
      </c>
      <c r="B182" s="79" t="s">
        <v>963</v>
      </c>
      <c r="C182" s="79" t="s">
        <v>9</v>
      </c>
      <c r="D182" s="132">
        <f>D183</f>
        <v>0</v>
      </c>
      <c r="E182" s="133"/>
      <c r="F182" s="133"/>
    </row>
    <row r="183" spans="1:6" s="77" customFormat="1" ht="15.6" hidden="1" x14ac:dyDescent="0.3">
      <c r="A183" s="74" t="s">
        <v>123</v>
      </c>
      <c r="B183" s="75" t="s">
        <v>963</v>
      </c>
      <c r="C183" s="75" t="s">
        <v>119</v>
      </c>
      <c r="D183" s="131">
        <f>'Прил 5'!S305</f>
        <v>0</v>
      </c>
      <c r="E183" s="133"/>
      <c r="F183" s="133"/>
    </row>
    <row r="184" spans="1:6" s="77" customFormat="1" ht="31.15" hidden="1" x14ac:dyDescent="0.3">
      <c r="A184" s="78" t="s">
        <v>964</v>
      </c>
      <c r="B184" s="79" t="s">
        <v>965</v>
      </c>
      <c r="C184" s="79" t="s">
        <v>9</v>
      </c>
      <c r="D184" s="132">
        <f>D185</f>
        <v>0</v>
      </c>
      <c r="E184" s="133"/>
      <c r="F184" s="133"/>
    </row>
    <row r="185" spans="1:6" s="77" customFormat="1" ht="15.6" hidden="1" x14ac:dyDescent="0.3">
      <c r="A185" s="74" t="s">
        <v>123</v>
      </c>
      <c r="B185" s="75" t="s">
        <v>965</v>
      </c>
      <c r="C185" s="75" t="s">
        <v>119</v>
      </c>
      <c r="D185" s="131">
        <f>'Прил 5'!S307</f>
        <v>0</v>
      </c>
      <c r="E185" s="133"/>
      <c r="F185" s="133"/>
    </row>
    <row r="186" spans="1:6" s="77" customFormat="1" x14ac:dyDescent="0.25">
      <c r="A186" s="78" t="s">
        <v>786</v>
      </c>
      <c r="B186" s="79" t="s">
        <v>405</v>
      </c>
      <c r="C186" s="79" t="s">
        <v>9</v>
      </c>
      <c r="D186" s="132">
        <f>D192+D197+D205+D207+D209+D187+D190</f>
        <v>5842.0599999999995</v>
      </c>
      <c r="E186" s="132" t="e">
        <f>E192+E197+E205+E207</f>
        <v>#REF!</v>
      </c>
      <c r="F186" s="132" t="e">
        <f>F192+F197+F205+F207</f>
        <v>#REF!</v>
      </c>
    </row>
    <row r="187" spans="1:6" s="77" customFormat="1" ht="31.5" x14ac:dyDescent="0.25">
      <c r="A187" s="78" t="s">
        <v>41</v>
      </c>
      <c r="B187" s="79" t="s">
        <v>1115</v>
      </c>
      <c r="C187" s="79" t="s">
        <v>9</v>
      </c>
      <c r="D187" s="132">
        <f>D188</f>
        <v>166.4</v>
      </c>
      <c r="E187" s="132"/>
      <c r="F187" s="132"/>
    </row>
    <row r="188" spans="1:6" s="77" customFormat="1" x14ac:dyDescent="0.25">
      <c r="A188" s="78" t="s">
        <v>859</v>
      </c>
      <c r="B188" s="79" t="s">
        <v>1116</v>
      </c>
      <c r="C188" s="79" t="s">
        <v>9</v>
      </c>
      <c r="D188" s="132">
        <f>D189</f>
        <v>166.4</v>
      </c>
      <c r="E188" s="132"/>
      <c r="F188" s="132"/>
    </row>
    <row r="189" spans="1:6" s="77" customFormat="1" x14ac:dyDescent="0.25">
      <c r="A189" s="74" t="s">
        <v>124</v>
      </c>
      <c r="B189" s="75" t="s">
        <v>1116</v>
      </c>
      <c r="C189" s="75" t="s">
        <v>117</v>
      </c>
      <c r="D189" s="132">
        <f>'Прил 5'!S339+'Прил 5'!S597</f>
        <v>166.4</v>
      </c>
      <c r="E189" s="132"/>
      <c r="F189" s="132"/>
    </row>
    <row r="190" spans="1:6" s="77" customFormat="1" x14ac:dyDescent="0.25">
      <c r="A190" s="78" t="s">
        <v>859</v>
      </c>
      <c r="B190" s="79" t="s">
        <v>1117</v>
      </c>
      <c r="C190" s="79" t="s">
        <v>9</v>
      </c>
      <c r="D190" s="132">
        <f>D191</f>
        <v>41.6</v>
      </c>
      <c r="E190" s="132"/>
      <c r="F190" s="132"/>
    </row>
    <row r="191" spans="1:6" s="77" customFormat="1" x14ac:dyDescent="0.25">
      <c r="A191" s="74" t="s">
        <v>124</v>
      </c>
      <c r="B191" s="75" t="s">
        <v>1117</v>
      </c>
      <c r="C191" s="75" t="s">
        <v>117</v>
      </c>
      <c r="D191" s="132">
        <f>'Прил 5'!S341+'Прил 5'!S599</f>
        <v>41.6</v>
      </c>
      <c r="E191" s="132"/>
      <c r="F191" s="132"/>
    </row>
    <row r="192" spans="1:6" s="77" customFormat="1" x14ac:dyDescent="0.25">
      <c r="A192" s="78" t="s">
        <v>127</v>
      </c>
      <c r="B192" s="79" t="s">
        <v>406</v>
      </c>
      <c r="C192" s="79" t="s">
        <v>9</v>
      </c>
      <c r="D192" s="132">
        <f>D193+D195</f>
        <v>310</v>
      </c>
      <c r="E192" s="132" t="e">
        <f>E193+E195</f>
        <v>#REF!</v>
      </c>
      <c r="F192" s="132" t="e">
        <f>F193+F195</f>
        <v>#REF!</v>
      </c>
    </row>
    <row r="193" spans="1:6" s="80" customFormat="1" ht="31.15" hidden="1" x14ac:dyDescent="0.3">
      <c r="A193" s="78" t="s">
        <v>121</v>
      </c>
      <c r="B193" s="79" t="s">
        <v>410</v>
      </c>
      <c r="C193" s="79" t="s">
        <v>9</v>
      </c>
      <c r="D193" s="132">
        <f>D194</f>
        <v>0</v>
      </c>
      <c r="E193" s="132" t="e">
        <f>E194</f>
        <v>#REF!</v>
      </c>
      <c r="F193" s="132" t="e">
        <f>F194</f>
        <v>#REF!</v>
      </c>
    </row>
    <row r="194" spans="1:6" s="80" customFormat="1" ht="15.6" hidden="1" x14ac:dyDescent="0.3">
      <c r="A194" s="74" t="s">
        <v>124</v>
      </c>
      <c r="B194" s="75" t="s">
        <v>410</v>
      </c>
      <c r="C194" s="75" t="s">
        <v>117</v>
      </c>
      <c r="D194" s="131">
        <f>'Прил 5'!S327</f>
        <v>0</v>
      </c>
      <c r="E194" s="131" t="e">
        <f>'Прил 5'!#REF!</f>
        <v>#REF!</v>
      </c>
      <c r="F194" s="131" t="e">
        <f>'Прил 5'!#REF!</f>
        <v>#REF!</v>
      </c>
    </row>
    <row r="195" spans="1:6" s="80" customFormat="1" ht="31.5" x14ac:dyDescent="0.25">
      <c r="A195" s="78" t="s">
        <v>16</v>
      </c>
      <c r="B195" s="79" t="s">
        <v>407</v>
      </c>
      <c r="C195" s="79" t="s">
        <v>9</v>
      </c>
      <c r="D195" s="132">
        <f>D196</f>
        <v>310</v>
      </c>
      <c r="E195" s="132" t="e">
        <f>E196</f>
        <v>#REF!</v>
      </c>
      <c r="F195" s="132" t="e">
        <f>F196</f>
        <v>#REF!</v>
      </c>
    </row>
    <row r="196" spans="1:6" s="77" customFormat="1" ht="47.25" x14ac:dyDescent="0.25">
      <c r="A196" s="74" t="s">
        <v>115</v>
      </c>
      <c r="B196" s="75" t="s">
        <v>407</v>
      </c>
      <c r="C196" s="75" t="s">
        <v>113</v>
      </c>
      <c r="D196" s="131">
        <f>'Прил 5'!S317</f>
        <v>310</v>
      </c>
      <c r="E196" s="131" t="e">
        <f>'Прил 5'!#REF!</f>
        <v>#REF!</v>
      </c>
      <c r="F196" s="131" t="e">
        <f>'Прил 5'!#REF!</f>
        <v>#REF!</v>
      </c>
    </row>
    <row r="197" spans="1:6" s="80" customFormat="1" ht="31.5" x14ac:dyDescent="0.25">
      <c r="A197" s="78" t="s">
        <v>572</v>
      </c>
      <c r="B197" s="79" t="s">
        <v>408</v>
      </c>
      <c r="C197" s="79" t="s">
        <v>9</v>
      </c>
      <c r="D197" s="132">
        <f>D198+D201</f>
        <v>3775.1</v>
      </c>
      <c r="E197" s="132" t="e">
        <f>E198+E201</f>
        <v>#REF!</v>
      </c>
      <c r="F197" s="132" t="e">
        <f>F198+F201</f>
        <v>#REF!</v>
      </c>
    </row>
    <row r="198" spans="1:6" s="80" customFormat="1" x14ac:dyDescent="0.25">
      <c r="A198" s="78" t="s">
        <v>29</v>
      </c>
      <c r="B198" s="79" t="s">
        <v>411</v>
      </c>
      <c r="C198" s="79" t="s">
        <v>9</v>
      </c>
      <c r="D198" s="132">
        <f>D199+D200</f>
        <v>794.6</v>
      </c>
      <c r="E198" s="132" t="e">
        <f>E199</f>
        <v>#REF!</v>
      </c>
      <c r="F198" s="132" t="e">
        <f>F199</f>
        <v>#REF!</v>
      </c>
    </row>
    <row r="199" spans="1:6" s="80" customFormat="1" ht="47.25" x14ac:dyDescent="0.25">
      <c r="A199" s="74" t="s">
        <v>115</v>
      </c>
      <c r="B199" s="75" t="s">
        <v>411</v>
      </c>
      <c r="C199" s="75" t="s">
        <v>113</v>
      </c>
      <c r="D199" s="131">
        <f>'Прил 5'!S330+'Прил 5'!S426</f>
        <v>708.6</v>
      </c>
      <c r="E199" s="131" t="e">
        <f>'Прил 5'!#REF!</f>
        <v>#REF!</v>
      </c>
      <c r="F199" s="131" t="e">
        <f>'Прил 5'!#REF!</f>
        <v>#REF!</v>
      </c>
    </row>
    <row r="200" spans="1:6" s="80" customFormat="1" x14ac:dyDescent="0.25">
      <c r="A200" s="74" t="s">
        <v>124</v>
      </c>
      <c r="B200" s="75" t="s">
        <v>411</v>
      </c>
      <c r="C200" s="75" t="s">
        <v>117</v>
      </c>
      <c r="D200" s="131">
        <f>'Прил 5'!S331+'Прил 5'!S427</f>
        <v>86</v>
      </c>
      <c r="E200" s="131"/>
      <c r="F200" s="131"/>
    </row>
    <row r="201" spans="1:6" s="77" customFormat="1" x14ac:dyDescent="0.25">
      <c r="A201" s="78" t="s">
        <v>26</v>
      </c>
      <c r="B201" s="79" t="s">
        <v>409</v>
      </c>
      <c r="C201" s="79" t="s">
        <v>9</v>
      </c>
      <c r="D201" s="132">
        <f>D202+D203+D204</f>
        <v>2980.5</v>
      </c>
      <c r="E201" s="132" t="e">
        <f>E202+E203</f>
        <v>#REF!</v>
      </c>
      <c r="F201" s="132" t="e">
        <f>F202+F203</f>
        <v>#REF!</v>
      </c>
    </row>
    <row r="202" spans="1:6" s="80" customFormat="1" ht="47.25" x14ac:dyDescent="0.25">
      <c r="A202" s="74" t="s">
        <v>115</v>
      </c>
      <c r="B202" s="75" t="s">
        <v>409</v>
      </c>
      <c r="C202" s="75" t="s">
        <v>113</v>
      </c>
      <c r="D202" s="131">
        <f>'Прил 5'!S320+'Прил 5'!S371</f>
        <v>2980.48875</v>
      </c>
      <c r="E202" s="131" t="e">
        <f>'Прил 5'!#REF!+'Прил 5'!#REF!</f>
        <v>#REF!</v>
      </c>
      <c r="F202" s="131" t="e">
        <f>'Прил 5'!#REF!+'Прил 5'!#REF!</f>
        <v>#REF!</v>
      </c>
    </row>
    <row r="203" spans="1:6" s="80" customFormat="1" ht="15.6" hidden="1" x14ac:dyDescent="0.3">
      <c r="A203" s="74" t="s">
        <v>124</v>
      </c>
      <c r="B203" s="75" t="s">
        <v>409</v>
      </c>
      <c r="C203" s="75" t="s">
        <v>117</v>
      </c>
      <c r="D203" s="131">
        <f>'Прил 5'!S321</f>
        <v>0</v>
      </c>
      <c r="E203" s="131" t="e">
        <f>'Прил 5'!#REF!</f>
        <v>#REF!</v>
      </c>
      <c r="F203" s="131" t="e">
        <f>'Прил 5'!#REF!</f>
        <v>#REF!</v>
      </c>
    </row>
    <row r="204" spans="1:6" s="80" customFormat="1" ht="15.6" hidden="1" x14ac:dyDescent="0.3">
      <c r="A204" s="74" t="s">
        <v>116</v>
      </c>
      <c r="B204" s="75" t="s">
        <v>409</v>
      </c>
      <c r="C204" s="75" t="s">
        <v>114</v>
      </c>
      <c r="D204" s="131">
        <f>'Прил 5'!S322</f>
        <v>1.125E-2</v>
      </c>
      <c r="E204" s="131"/>
      <c r="F204" s="131"/>
    </row>
    <row r="205" spans="1:6" s="80" customFormat="1" ht="31.5" x14ac:dyDescent="0.25">
      <c r="A205" s="78" t="s">
        <v>122</v>
      </c>
      <c r="B205" s="79" t="s">
        <v>412</v>
      </c>
      <c r="C205" s="79" t="s">
        <v>9</v>
      </c>
      <c r="D205" s="132">
        <f>D206</f>
        <v>1359.06</v>
      </c>
      <c r="E205" s="132" t="e">
        <f>E206</f>
        <v>#REF!</v>
      </c>
      <c r="F205" s="132" t="e">
        <f>F206</f>
        <v>#REF!</v>
      </c>
    </row>
    <row r="206" spans="1:6" s="77" customFormat="1" x14ac:dyDescent="0.25">
      <c r="A206" s="74" t="s">
        <v>124</v>
      </c>
      <c r="B206" s="75" t="s">
        <v>412</v>
      </c>
      <c r="C206" s="75" t="s">
        <v>117</v>
      </c>
      <c r="D206" s="131">
        <f>'Прил 5'!S333+'Прил 5'!S350+'Прил 5'!S429+'Прил 5'!S622</f>
        <v>1359.06</v>
      </c>
      <c r="E206" s="131" t="e">
        <f>'Прил 5'!#REF!+'Прил 5'!#REF!</f>
        <v>#REF!</v>
      </c>
      <c r="F206" s="131" t="e">
        <f>'Прил 5'!#REF!+'Прил 5'!#REF!</f>
        <v>#REF!</v>
      </c>
    </row>
    <row r="207" spans="1:6" s="77" customFormat="1" ht="31.5" x14ac:dyDescent="0.25">
      <c r="A207" s="78" t="s">
        <v>71</v>
      </c>
      <c r="B207" s="79" t="s">
        <v>413</v>
      </c>
      <c r="C207" s="79" t="s">
        <v>9</v>
      </c>
      <c r="D207" s="132">
        <f>D208</f>
        <v>189.9</v>
      </c>
      <c r="E207" s="132" t="e">
        <f>E208</f>
        <v>#REF!</v>
      </c>
      <c r="F207" s="132" t="e">
        <f>F208</f>
        <v>#REF!</v>
      </c>
    </row>
    <row r="208" spans="1:6" s="80" customFormat="1" x14ac:dyDescent="0.25">
      <c r="A208" s="74" t="s">
        <v>124</v>
      </c>
      <c r="B208" s="75" t="s">
        <v>413</v>
      </c>
      <c r="C208" s="75" t="s">
        <v>117</v>
      </c>
      <c r="D208" s="131">
        <f>'Прил 5'!S343+'Прил 5'!S601</f>
        <v>189.9</v>
      </c>
      <c r="E208" s="131" t="e">
        <f>'Прил 5'!#REF!</f>
        <v>#REF!</v>
      </c>
      <c r="F208" s="131" t="e">
        <f>'Прил 5'!#REF!</f>
        <v>#REF!</v>
      </c>
    </row>
    <row r="209" spans="1:6" s="80" customFormat="1" ht="15.6" hidden="1" x14ac:dyDescent="0.3">
      <c r="A209" s="78" t="s">
        <v>859</v>
      </c>
      <c r="B209" s="79" t="s">
        <v>860</v>
      </c>
      <c r="C209" s="79" t="s">
        <v>9</v>
      </c>
      <c r="D209" s="132">
        <f>D210</f>
        <v>0</v>
      </c>
      <c r="E209" s="131"/>
      <c r="F209" s="131"/>
    </row>
    <row r="210" spans="1:6" s="80" customFormat="1" ht="15.6" hidden="1" x14ac:dyDescent="0.3">
      <c r="A210" s="74" t="s">
        <v>124</v>
      </c>
      <c r="B210" s="75" t="s">
        <v>860</v>
      </c>
      <c r="C210" s="75" t="s">
        <v>117</v>
      </c>
      <c r="D210" s="131">
        <f>'Прил 5'!S345</f>
        <v>0</v>
      </c>
      <c r="E210" s="131"/>
      <c r="F210" s="131"/>
    </row>
    <row r="211" spans="1:6" s="77" customFormat="1" ht="31.5" x14ac:dyDescent="0.25">
      <c r="A211" s="78" t="s">
        <v>787</v>
      </c>
      <c r="B211" s="79" t="s">
        <v>495</v>
      </c>
      <c r="C211" s="79" t="s">
        <v>9</v>
      </c>
      <c r="D211" s="132">
        <f>D212+D215+D228+D230+D232+D226+D222+D234</f>
        <v>17358.88</v>
      </c>
      <c r="E211" s="132" t="e">
        <f>E212+E215+E228+E230+E232+E226</f>
        <v>#REF!</v>
      </c>
      <c r="F211" s="132" t="e">
        <f>F212+F215+F228+F230+F232+F226</f>
        <v>#REF!</v>
      </c>
    </row>
    <row r="212" spans="1:6" s="80" customFormat="1" ht="31.15" hidden="1" x14ac:dyDescent="0.3">
      <c r="A212" s="78" t="s">
        <v>41</v>
      </c>
      <c r="B212" s="79" t="s">
        <v>500</v>
      </c>
      <c r="C212" s="79" t="s">
        <v>9</v>
      </c>
      <c r="D212" s="132">
        <f t="shared" ref="D212:F213" si="2">D213</f>
        <v>0</v>
      </c>
      <c r="E212" s="132" t="e">
        <f t="shared" si="2"/>
        <v>#REF!</v>
      </c>
      <c r="F212" s="132" t="e">
        <f t="shared" si="2"/>
        <v>#REF!</v>
      </c>
    </row>
    <row r="213" spans="1:6" s="77" customFormat="1" ht="46.9" hidden="1" x14ac:dyDescent="0.3">
      <c r="A213" s="78" t="s">
        <v>112</v>
      </c>
      <c r="B213" s="79" t="s">
        <v>501</v>
      </c>
      <c r="C213" s="79" t="s">
        <v>9</v>
      </c>
      <c r="D213" s="132">
        <f t="shared" si="2"/>
        <v>0</v>
      </c>
      <c r="E213" s="132" t="e">
        <f t="shared" si="2"/>
        <v>#REF!</v>
      </c>
      <c r="F213" s="132" t="e">
        <f t="shared" si="2"/>
        <v>#REF!</v>
      </c>
    </row>
    <row r="214" spans="1:6" s="80" customFormat="1" ht="15.6" hidden="1" x14ac:dyDescent="0.3">
      <c r="A214" s="81" t="s">
        <v>116</v>
      </c>
      <c r="B214" s="27" t="s">
        <v>501</v>
      </c>
      <c r="C214" s="75" t="s">
        <v>114</v>
      </c>
      <c r="D214" s="131">
        <f>'Прил 5'!S617</f>
        <v>0</v>
      </c>
      <c r="E214" s="131" t="e">
        <f>'Прил 5'!#REF!</f>
        <v>#REF!</v>
      </c>
      <c r="F214" s="131" t="e">
        <f>'Прил 5'!#REF!</f>
        <v>#REF!</v>
      </c>
    </row>
    <row r="215" spans="1:6" s="80" customFormat="1" ht="47.25" x14ac:dyDescent="0.25">
      <c r="A215" s="78" t="s">
        <v>1110</v>
      </c>
      <c r="B215" s="79" t="s">
        <v>496</v>
      </c>
      <c r="C215" s="79" t="s">
        <v>9</v>
      </c>
      <c r="D215" s="132">
        <f>D216+D219+D221</f>
        <v>1100</v>
      </c>
      <c r="E215" s="132" t="e">
        <f>E216+E219+E221</f>
        <v>#REF!</v>
      </c>
      <c r="F215" s="132" t="e">
        <f>F216+F219+F221</f>
        <v>#REF!</v>
      </c>
    </row>
    <row r="216" spans="1:6" s="77" customFormat="1" ht="31.5" x14ac:dyDescent="0.25">
      <c r="A216" s="78" t="s">
        <v>110</v>
      </c>
      <c r="B216" s="79" t="s">
        <v>497</v>
      </c>
      <c r="C216" s="79" t="s">
        <v>9</v>
      </c>
      <c r="D216" s="132">
        <f>D217+D218</f>
        <v>1100</v>
      </c>
      <c r="E216" s="132" t="e">
        <f>E217</f>
        <v>#REF!</v>
      </c>
      <c r="F216" s="132" t="e">
        <f>F217</f>
        <v>#REF!</v>
      </c>
    </row>
    <row r="217" spans="1:6" s="80" customFormat="1" ht="47.25" x14ac:dyDescent="0.25">
      <c r="A217" s="74" t="s">
        <v>115</v>
      </c>
      <c r="B217" s="75" t="s">
        <v>497</v>
      </c>
      <c r="C217" s="75" t="s">
        <v>113</v>
      </c>
      <c r="D217" s="131">
        <f>'Прил 5'!S383</f>
        <v>1100</v>
      </c>
      <c r="E217" s="131" t="e">
        <f>'Прил 5'!#REF!</f>
        <v>#REF!</v>
      </c>
      <c r="F217" s="131" t="e">
        <f>'Прил 5'!#REF!</f>
        <v>#REF!</v>
      </c>
    </row>
    <row r="218" spans="1:6" s="80" customFormat="1" ht="15.6" hidden="1" x14ac:dyDescent="0.3">
      <c r="A218" s="74" t="s">
        <v>124</v>
      </c>
      <c r="B218" s="75" t="s">
        <v>497</v>
      </c>
      <c r="C218" s="75" t="s">
        <v>117</v>
      </c>
      <c r="D218" s="131">
        <f>'Прил 5'!S384</f>
        <v>0</v>
      </c>
      <c r="E218" s="131"/>
      <c r="F218" s="131"/>
    </row>
    <row r="219" spans="1:6" s="77" customFormat="1" ht="78" hidden="1" x14ac:dyDescent="0.3">
      <c r="A219" s="78" t="s">
        <v>506</v>
      </c>
      <c r="B219" s="79" t="s">
        <v>498</v>
      </c>
      <c r="C219" s="79" t="s">
        <v>9</v>
      </c>
      <c r="D219" s="132">
        <f>D220</f>
        <v>0</v>
      </c>
      <c r="E219" s="132" t="e">
        <f>E220</f>
        <v>#REF!</v>
      </c>
      <c r="F219" s="132" t="e">
        <f>F220</f>
        <v>#REF!</v>
      </c>
    </row>
    <row r="220" spans="1:6" s="80" customFormat="1" ht="15.6" hidden="1" x14ac:dyDescent="0.3">
      <c r="A220" s="74" t="s">
        <v>124</v>
      </c>
      <c r="B220" s="75" t="s">
        <v>498</v>
      </c>
      <c r="C220" s="75" t="s">
        <v>117</v>
      </c>
      <c r="D220" s="131">
        <f>'Прил 5'!S516</f>
        <v>0</v>
      </c>
      <c r="E220" s="131" t="e">
        <f>'Прил 5'!#REF!</f>
        <v>#REF!</v>
      </c>
      <c r="F220" s="131" t="e">
        <f>'Прил 5'!#REF!</f>
        <v>#REF!</v>
      </c>
    </row>
    <row r="221" spans="1:6" s="77" customFormat="1" ht="62.45" hidden="1" x14ac:dyDescent="0.3">
      <c r="A221" s="78" t="s">
        <v>350</v>
      </c>
      <c r="B221" s="79" t="s">
        <v>499</v>
      </c>
      <c r="C221" s="79" t="s">
        <v>9</v>
      </c>
      <c r="D221" s="132">
        <f>D224</f>
        <v>0</v>
      </c>
      <c r="E221" s="132" t="e">
        <f>E224</f>
        <v>#REF!</v>
      </c>
      <c r="F221" s="132" t="e">
        <f>F224</f>
        <v>#REF!</v>
      </c>
    </row>
    <row r="222" spans="1:6" s="77" customFormat="1" x14ac:dyDescent="0.25">
      <c r="A222" s="78" t="s">
        <v>79</v>
      </c>
      <c r="B222" s="619" t="s">
        <v>1243</v>
      </c>
      <c r="C222" s="619" t="s">
        <v>9</v>
      </c>
      <c r="D222" s="132">
        <f>D223</f>
        <v>10</v>
      </c>
      <c r="E222" s="132"/>
      <c r="F222" s="132"/>
    </row>
    <row r="223" spans="1:6" s="77" customFormat="1" x14ac:dyDescent="0.25">
      <c r="A223" s="74" t="s">
        <v>125</v>
      </c>
      <c r="B223" s="75" t="s">
        <v>1243</v>
      </c>
      <c r="C223" s="75" t="s">
        <v>118</v>
      </c>
      <c r="D223" s="131">
        <f>'Прил 5'!S485</f>
        <v>10</v>
      </c>
      <c r="E223" s="132"/>
      <c r="F223" s="132"/>
    </row>
    <row r="224" spans="1:6" s="80" customFormat="1" ht="15.6" hidden="1" x14ac:dyDescent="0.3">
      <c r="A224" s="74" t="s">
        <v>124</v>
      </c>
      <c r="B224" s="75" t="s">
        <v>499</v>
      </c>
      <c r="C224" s="75" t="s">
        <v>117</v>
      </c>
      <c r="D224" s="131">
        <f>'Прил 5'!S518</f>
        <v>0</v>
      </c>
      <c r="E224" s="131" t="e">
        <f>'Прил 5'!#REF!</f>
        <v>#REF!</v>
      </c>
      <c r="F224" s="131" t="e">
        <f>'Прил 5'!#REF!</f>
        <v>#REF!</v>
      </c>
    </row>
    <row r="225" spans="1:6" s="80" customFormat="1" ht="15.6" hidden="1" x14ac:dyDescent="0.3">
      <c r="A225" s="74"/>
      <c r="B225" s="75"/>
      <c r="C225" s="75"/>
      <c r="D225" s="131"/>
      <c r="E225" s="131"/>
      <c r="F225" s="131"/>
    </row>
    <row r="226" spans="1:6" s="77" customFormat="1" ht="31.15" hidden="1" x14ac:dyDescent="0.3">
      <c r="A226" s="78" t="s">
        <v>710</v>
      </c>
      <c r="B226" s="79" t="s">
        <v>706</v>
      </c>
      <c r="C226" s="79" t="s">
        <v>9</v>
      </c>
      <c r="D226" s="132">
        <f>D227</f>
        <v>0</v>
      </c>
      <c r="E226" s="132" t="e">
        <f>E227</f>
        <v>#REF!</v>
      </c>
      <c r="F226" s="132" t="e">
        <f>F227</f>
        <v>#REF!</v>
      </c>
    </row>
    <row r="227" spans="1:6" s="80" customFormat="1" ht="15.6" hidden="1" x14ac:dyDescent="0.3">
      <c r="A227" s="74" t="s">
        <v>116</v>
      </c>
      <c r="B227" s="75" t="s">
        <v>706</v>
      </c>
      <c r="C227" s="75" t="s">
        <v>114</v>
      </c>
      <c r="D227" s="131">
        <f>'Прил 5'!S520</f>
        <v>0</v>
      </c>
      <c r="E227" s="131" t="e">
        <f>'Прил 5'!#REF!</f>
        <v>#REF!</v>
      </c>
      <c r="F227" s="131" t="e">
        <f>'Прил 5'!#REF!</f>
        <v>#REF!</v>
      </c>
    </row>
    <row r="228" spans="1:6" s="77" customFormat="1" ht="31.5" x14ac:dyDescent="0.25">
      <c r="A228" s="78" t="s">
        <v>1077</v>
      </c>
      <c r="B228" s="79" t="s">
        <v>678</v>
      </c>
      <c r="C228" s="79" t="s">
        <v>9</v>
      </c>
      <c r="D228" s="132">
        <f>D229</f>
        <v>45.919999999999995</v>
      </c>
      <c r="E228" s="132" t="e">
        <f>E229</f>
        <v>#REF!</v>
      </c>
      <c r="F228" s="132" t="e">
        <f>F229</f>
        <v>#REF!</v>
      </c>
    </row>
    <row r="229" spans="1:6" s="80" customFormat="1" x14ac:dyDescent="0.25">
      <c r="A229" s="74" t="s">
        <v>116</v>
      </c>
      <c r="B229" s="75" t="s">
        <v>678</v>
      </c>
      <c r="C229" s="75" t="s">
        <v>114</v>
      </c>
      <c r="D229" s="131">
        <f>'Прил 5'!S522</f>
        <v>45.919999999999995</v>
      </c>
      <c r="E229" s="131" t="e">
        <f>'Прил 5'!#REF!</f>
        <v>#REF!</v>
      </c>
      <c r="F229" s="131" t="e">
        <f>'Прил 5'!#REF!</f>
        <v>#REF!</v>
      </c>
    </row>
    <row r="230" spans="1:6" s="80" customFormat="1" ht="31.15" hidden="1" x14ac:dyDescent="0.3">
      <c r="A230" s="78" t="s">
        <v>710</v>
      </c>
      <c r="B230" s="79" t="s">
        <v>844</v>
      </c>
      <c r="C230" s="79" t="s">
        <v>9</v>
      </c>
      <c r="D230" s="132">
        <f>D231</f>
        <v>0</v>
      </c>
      <c r="E230" s="132" t="e">
        <f>E231</f>
        <v>#REF!</v>
      </c>
      <c r="F230" s="132" t="e">
        <f>F231</f>
        <v>#REF!</v>
      </c>
    </row>
    <row r="231" spans="1:6" s="80" customFormat="1" ht="15.6" hidden="1" x14ac:dyDescent="0.3">
      <c r="A231" s="74" t="s">
        <v>116</v>
      </c>
      <c r="B231" s="75" t="s">
        <v>844</v>
      </c>
      <c r="C231" s="75" t="s">
        <v>114</v>
      </c>
      <c r="D231" s="131">
        <f>'Прил 5'!S524</f>
        <v>0</v>
      </c>
      <c r="E231" s="131" t="e">
        <f>'Прил 5'!#REF!</f>
        <v>#REF!</v>
      </c>
      <c r="F231" s="131" t="e">
        <f>'Прил 5'!#REF!</f>
        <v>#REF!</v>
      </c>
    </row>
    <row r="232" spans="1:6" s="77" customFormat="1" ht="31.5" x14ac:dyDescent="0.25">
      <c r="A232" s="78" t="s">
        <v>1077</v>
      </c>
      <c r="B232" s="79" t="s">
        <v>679</v>
      </c>
      <c r="C232" s="79" t="s">
        <v>9</v>
      </c>
      <c r="D232" s="132">
        <f>D233</f>
        <v>145.66</v>
      </c>
      <c r="E232" s="132" t="e">
        <f>E233</f>
        <v>#REF!</v>
      </c>
      <c r="F232" s="132" t="e">
        <f>F233</f>
        <v>#REF!</v>
      </c>
    </row>
    <row r="233" spans="1:6" s="80" customFormat="1" x14ac:dyDescent="0.25">
      <c r="A233" s="74" t="s">
        <v>116</v>
      </c>
      <c r="B233" s="75" t="s">
        <v>679</v>
      </c>
      <c r="C233" s="75" t="s">
        <v>114</v>
      </c>
      <c r="D233" s="131">
        <f>'Прил 5'!S526</f>
        <v>145.66</v>
      </c>
      <c r="E233" s="131" t="e">
        <f>'Прил 5'!#REF!</f>
        <v>#REF!</v>
      </c>
      <c r="F233" s="131" t="e">
        <f>'Прил 5'!#REF!</f>
        <v>#REF!</v>
      </c>
    </row>
    <row r="234" spans="1:6" s="80" customFormat="1" ht="31.5" x14ac:dyDescent="0.25">
      <c r="A234" s="78" t="s">
        <v>1177</v>
      </c>
      <c r="B234" s="657" t="s">
        <v>966</v>
      </c>
      <c r="C234" s="657" t="s">
        <v>9</v>
      </c>
      <c r="D234" s="132">
        <f>D235+D238+D240+D245</f>
        <v>16057.300000000001</v>
      </c>
      <c r="E234" s="131"/>
      <c r="F234" s="131"/>
    </row>
    <row r="235" spans="1:6" s="80" customFormat="1" ht="31.5" x14ac:dyDescent="0.25">
      <c r="A235" s="267" t="s">
        <v>41</v>
      </c>
      <c r="B235" s="657" t="s">
        <v>1180</v>
      </c>
      <c r="C235" s="657" t="s">
        <v>9</v>
      </c>
      <c r="D235" s="131">
        <f>D236</f>
        <v>15896.7</v>
      </c>
      <c r="E235" s="131"/>
      <c r="F235" s="131"/>
    </row>
    <row r="236" spans="1:6" s="80" customFormat="1" ht="78.75" x14ac:dyDescent="0.25">
      <c r="A236" s="267" t="s">
        <v>1231</v>
      </c>
      <c r="B236" s="657" t="s">
        <v>1267</v>
      </c>
      <c r="C236" s="657" t="s">
        <v>9</v>
      </c>
      <c r="D236" s="131">
        <f>D237</f>
        <v>15896.7</v>
      </c>
      <c r="E236" s="131"/>
      <c r="F236" s="131"/>
    </row>
    <row r="237" spans="1:6" s="80" customFormat="1" x14ac:dyDescent="0.25">
      <c r="A237" s="264" t="s">
        <v>124</v>
      </c>
      <c r="B237" s="75" t="s">
        <v>1267</v>
      </c>
      <c r="C237" s="75" t="s">
        <v>117</v>
      </c>
      <c r="D237" s="131">
        <f>'Прил 5'!S545</f>
        <v>15896.7</v>
      </c>
      <c r="E237" s="131"/>
      <c r="F237" s="131"/>
    </row>
    <row r="238" spans="1:6" s="80" customFormat="1" ht="78.75" x14ac:dyDescent="0.25">
      <c r="A238" s="267" t="s">
        <v>1231</v>
      </c>
      <c r="B238" s="657" t="s">
        <v>1268</v>
      </c>
      <c r="C238" s="657" t="s">
        <v>9</v>
      </c>
      <c r="D238" s="131">
        <f>D239</f>
        <v>160.6</v>
      </c>
      <c r="E238" s="131"/>
      <c r="F238" s="131"/>
    </row>
    <row r="239" spans="1:6" s="80" customFormat="1" x14ac:dyDescent="0.25">
      <c r="A239" s="264" t="s">
        <v>124</v>
      </c>
      <c r="B239" s="75" t="s">
        <v>1268</v>
      </c>
      <c r="C239" s="75" t="s">
        <v>117</v>
      </c>
      <c r="D239" s="131">
        <f>'Прил 5'!S547</f>
        <v>160.6</v>
      </c>
      <c r="E239" s="131"/>
      <c r="F239" s="131"/>
    </row>
    <row r="240" spans="1:6" s="80" customFormat="1" ht="15.6" hidden="1" x14ac:dyDescent="0.3">
      <c r="A240" s="195" t="s">
        <v>967</v>
      </c>
      <c r="B240" s="79" t="s">
        <v>968</v>
      </c>
      <c r="C240" s="79" t="s">
        <v>9</v>
      </c>
      <c r="D240" s="132">
        <f>D241+D243</f>
        <v>0</v>
      </c>
      <c r="E240" s="131"/>
      <c r="F240" s="131"/>
    </row>
    <row r="241" spans="1:6" s="80" customFormat="1" ht="31.15" hidden="1" x14ac:dyDescent="0.3">
      <c r="A241" s="78" t="s">
        <v>969</v>
      </c>
      <c r="B241" s="79" t="s">
        <v>970</v>
      </c>
      <c r="C241" s="79" t="s">
        <v>9</v>
      </c>
      <c r="D241" s="132">
        <f>D242</f>
        <v>0</v>
      </c>
      <c r="E241" s="131"/>
      <c r="F241" s="131"/>
    </row>
    <row r="242" spans="1:6" s="80" customFormat="1" ht="15.6" hidden="1" x14ac:dyDescent="0.3">
      <c r="A242" s="264" t="s">
        <v>124</v>
      </c>
      <c r="B242" s="75" t="s">
        <v>970</v>
      </c>
      <c r="C242" s="75" t="s">
        <v>117</v>
      </c>
      <c r="D242" s="131">
        <f>'Прил 5'!S550</f>
        <v>0</v>
      </c>
      <c r="E242" s="131"/>
      <c r="F242" s="131"/>
    </row>
    <row r="243" spans="1:6" s="80" customFormat="1" ht="31.15" hidden="1" x14ac:dyDescent="0.3">
      <c r="A243" s="78" t="s">
        <v>971</v>
      </c>
      <c r="B243" s="79" t="s">
        <v>972</v>
      </c>
      <c r="C243" s="79" t="s">
        <v>9</v>
      </c>
      <c r="D243" s="132">
        <f>D244</f>
        <v>0</v>
      </c>
      <c r="E243" s="131"/>
      <c r="F243" s="131"/>
    </row>
    <row r="244" spans="1:6" s="80" customFormat="1" ht="15.6" hidden="1" x14ac:dyDescent="0.3">
      <c r="A244" s="264" t="s">
        <v>124</v>
      </c>
      <c r="B244" s="75" t="s">
        <v>972</v>
      </c>
      <c r="C244" s="75" t="s">
        <v>117</v>
      </c>
      <c r="D244" s="131">
        <f>'Прил 5'!S552</f>
        <v>0</v>
      </c>
      <c r="E244" s="131"/>
      <c r="F244" s="131"/>
    </row>
    <row r="245" spans="1:6" s="80" customFormat="1" ht="15.6" hidden="1" x14ac:dyDescent="0.3">
      <c r="A245" s="195" t="s">
        <v>967</v>
      </c>
      <c r="B245" s="79" t="s">
        <v>973</v>
      </c>
      <c r="C245" s="79" t="s">
        <v>9</v>
      </c>
      <c r="D245" s="132">
        <f>D246+D248</f>
        <v>0</v>
      </c>
      <c r="E245" s="131"/>
      <c r="F245" s="131"/>
    </row>
    <row r="246" spans="1:6" s="80" customFormat="1" ht="31.15" hidden="1" x14ac:dyDescent="0.3">
      <c r="A246" s="78" t="s">
        <v>969</v>
      </c>
      <c r="B246" s="79" t="s">
        <v>974</v>
      </c>
      <c r="C246" s="79" t="s">
        <v>9</v>
      </c>
      <c r="D246" s="132">
        <f>D247</f>
        <v>0</v>
      </c>
      <c r="E246" s="131"/>
      <c r="F246" s="131"/>
    </row>
    <row r="247" spans="1:6" s="80" customFormat="1" ht="15.6" hidden="1" x14ac:dyDescent="0.3">
      <c r="A247" s="264" t="s">
        <v>124</v>
      </c>
      <c r="B247" s="75" t="s">
        <v>974</v>
      </c>
      <c r="C247" s="75" t="s">
        <v>117</v>
      </c>
      <c r="D247" s="131">
        <f>'Прил 5'!S555</f>
        <v>0</v>
      </c>
      <c r="E247" s="131"/>
      <c r="F247" s="131"/>
    </row>
    <row r="248" spans="1:6" s="80" customFormat="1" ht="31.15" hidden="1" x14ac:dyDescent="0.3">
      <c r="A248" s="78" t="s">
        <v>971</v>
      </c>
      <c r="B248" s="79" t="s">
        <v>975</v>
      </c>
      <c r="C248" s="79" t="s">
        <v>9</v>
      </c>
      <c r="D248" s="132">
        <f>D249</f>
        <v>0</v>
      </c>
      <c r="E248" s="131"/>
      <c r="F248" s="131"/>
    </row>
    <row r="249" spans="1:6" s="80" customFormat="1" ht="15.6" hidden="1" x14ac:dyDescent="0.3">
      <c r="A249" s="264" t="s">
        <v>124</v>
      </c>
      <c r="B249" s="75" t="s">
        <v>975</v>
      </c>
      <c r="C249" s="75" t="s">
        <v>117</v>
      </c>
      <c r="D249" s="131">
        <f>'Прил 5'!S557</f>
        <v>0</v>
      </c>
      <c r="E249" s="131"/>
      <c r="F249" s="131"/>
    </row>
    <row r="250" spans="1:6" s="80" customFormat="1" ht="31.5" x14ac:dyDescent="0.25">
      <c r="A250" s="78" t="s">
        <v>784</v>
      </c>
      <c r="B250" s="79" t="s">
        <v>380</v>
      </c>
      <c r="C250" s="79" t="s">
        <v>9</v>
      </c>
      <c r="D250" s="132">
        <f>D251+D253+D292+D318+D327+D360+D362+D365+D369+D371+D376+D386+D401+D492+D323+D286+D373+D265+D263+D274+D282+D267+D277+D309+D378+D269+D325+D380+D290</f>
        <v>359593.11101999995</v>
      </c>
      <c r="E250" s="132" t="e">
        <f>E328+E251+E253+E292+E318+E486+E327+E360+E362+E365+E369+E371+E376+E386+E401+#REF!+E323+#REF!+E286</f>
        <v>#REF!</v>
      </c>
      <c r="F250" s="132" t="e">
        <f>F328+F251+F253+F292+F318+F486+F327+F360+F362+F365+F369+F371+F376+F386+F401+#REF!+F323+#REF!+F286</f>
        <v>#REF!</v>
      </c>
    </row>
    <row r="251" spans="1:6" s="77" customFormat="1" ht="31.15" hidden="1" x14ac:dyDescent="0.3">
      <c r="A251" s="78" t="s">
        <v>211</v>
      </c>
      <c r="B251" s="79" t="s">
        <v>425</v>
      </c>
      <c r="C251" s="79" t="s">
        <v>9</v>
      </c>
      <c r="D251" s="132">
        <f>D252</f>
        <v>0</v>
      </c>
      <c r="E251" s="132" t="e">
        <f>E252</f>
        <v>#REF!</v>
      </c>
      <c r="F251" s="132" t="e">
        <f>F252</f>
        <v>#REF!</v>
      </c>
    </row>
    <row r="252" spans="1:6" s="77" customFormat="1" ht="15.6" hidden="1" x14ac:dyDescent="0.3">
      <c r="A252" s="74" t="s">
        <v>124</v>
      </c>
      <c r="B252" s="75" t="s">
        <v>425</v>
      </c>
      <c r="C252" s="75" t="s">
        <v>117</v>
      </c>
      <c r="D252" s="131">
        <f>'Прил 5'!S432</f>
        <v>0</v>
      </c>
      <c r="E252" s="131" t="e">
        <f>'Прил 5'!#REF!</f>
        <v>#REF!</v>
      </c>
      <c r="F252" s="131" t="e">
        <f>'Прил 5'!#REF!</f>
        <v>#REF!</v>
      </c>
    </row>
    <row r="253" spans="1:6" s="77" customFormat="1" ht="31.5" x14ac:dyDescent="0.25">
      <c r="A253" s="78" t="s">
        <v>41</v>
      </c>
      <c r="B253" s="79" t="s">
        <v>414</v>
      </c>
      <c r="C253" s="79" t="s">
        <v>9</v>
      </c>
      <c r="D253" s="132">
        <f>D256+D254+D271+D284+D279+D288</f>
        <v>6087.1269999999995</v>
      </c>
      <c r="E253" s="132" t="e">
        <f>E256</f>
        <v>#REF!</v>
      </c>
      <c r="F253" s="132" t="e">
        <f>F256</f>
        <v>#REF!</v>
      </c>
    </row>
    <row r="254" spans="1:6" s="77" customFormat="1" ht="31.5" x14ac:dyDescent="0.25">
      <c r="A254" s="78" t="s">
        <v>464</v>
      </c>
      <c r="B254" s="79" t="s">
        <v>889</v>
      </c>
      <c r="C254" s="79" t="s">
        <v>9</v>
      </c>
      <c r="D254" s="132">
        <f>D255+D259+D261</f>
        <v>1764.8630000000001</v>
      </c>
      <c r="E254" s="132"/>
      <c r="F254" s="132"/>
    </row>
    <row r="255" spans="1:6" s="77" customFormat="1" ht="31.5" x14ac:dyDescent="0.25">
      <c r="A255" s="78" t="s">
        <v>1191</v>
      </c>
      <c r="B255" s="79" t="s">
        <v>898</v>
      </c>
      <c r="C255" s="75" t="s">
        <v>9</v>
      </c>
      <c r="D255" s="131">
        <f>D258</f>
        <v>662.86300000000006</v>
      </c>
      <c r="E255" s="132"/>
      <c r="F255" s="132"/>
    </row>
    <row r="256" spans="1:6" s="77" customFormat="1" ht="15.6" hidden="1" x14ac:dyDescent="0.3">
      <c r="A256" s="78" t="s">
        <v>353</v>
      </c>
      <c r="B256" s="79" t="s">
        <v>415</v>
      </c>
      <c r="C256" s="79" t="s">
        <v>9</v>
      </c>
      <c r="D256" s="132">
        <f>D257</f>
        <v>0</v>
      </c>
      <c r="E256" s="132" t="e">
        <f>E257</f>
        <v>#REF!</v>
      </c>
      <c r="F256" s="132" t="e">
        <f>F257</f>
        <v>#REF!</v>
      </c>
    </row>
    <row r="257" spans="1:6" s="80" customFormat="1" ht="15.6" hidden="1" x14ac:dyDescent="0.3">
      <c r="A257" s="74" t="s">
        <v>124</v>
      </c>
      <c r="B257" s="75" t="s">
        <v>415</v>
      </c>
      <c r="C257" s="75" t="s">
        <v>117</v>
      </c>
      <c r="D257" s="131">
        <f>'Прил 5'!S355</f>
        <v>0</v>
      </c>
      <c r="E257" s="131" t="e">
        <f>'Прил 5'!#REF!</f>
        <v>#REF!</v>
      </c>
      <c r="F257" s="131" t="e">
        <f>'Прил 5'!#REF!</f>
        <v>#REF!</v>
      </c>
    </row>
    <row r="258" spans="1:6" s="80" customFormat="1" ht="31.5" x14ac:dyDescent="0.25">
      <c r="A258" s="74" t="s">
        <v>843</v>
      </c>
      <c r="B258" s="75" t="s">
        <v>898</v>
      </c>
      <c r="C258" s="75" t="s">
        <v>117</v>
      </c>
      <c r="D258" s="131">
        <f>'Прил 5'!S628</f>
        <v>662.86300000000006</v>
      </c>
      <c r="E258" s="131"/>
      <c r="F258" s="131"/>
    </row>
    <row r="259" spans="1:6" s="80" customFormat="1" ht="15.6" hidden="1" x14ac:dyDescent="0.3">
      <c r="A259" s="78" t="s">
        <v>895</v>
      </c>
      <c r="B259" s="79" t="s">
        <v>897</v>
      </c>
      <c r="C259" s="75" t="s">
        <v>9</v>
      </c>
      <c r="D259" s="131">
        <f>D260</f>
        <v>0</v>
      </c>
      <c r="E259" s="131"/>
      <c r="F259" s="131"/>
    </row>
    <row r="260" spans="1:6" s="80" customFormat="1" ht="31.15" hidden="1" x14ac:dyDescent="0.3">
      <c r="A260" s="74" t="s">
        <v>843</v>
      </c>
      <c r="B260" s="75" t="s">
        <v>897</v>
      </c>
      <c r="C260" s="75" t="s">
        <v>117</v>
      </c>
      <c r="D260" s="131">
        <f>'Прил 5'!S630</f>
        <v>0</v>
      </c>
      <c r="E260" s="131"/>
      <c r="F260" s="131"/>
    </row>
    <row r="261" spans="1:6" s="80" customFormat="1" ht="31.5" x14ac:dyDescent="0.25">
      <c r="A261" s="78" t="s">
        <v>1190</v>
      </c>
      <c r="B261" s="79" t="s">
        <v>1054</v>
      </c>
      <c r="C261" s="79" t="s">
        <v>9</v>
      </c>
      <c r="D261" s="132">
        <f>D262</f>
        <v>1102</v>
      </c>
      <c r="E261" s="131"/>
      <c r="F261" s="131"/>
    </row>
    <row r="262" spans="1:6" s="80" customFormat="1" ht="31.5" x14ac:dyDescent="0.25">
      <c r="A262" s="74" t="s">
        <v>843</v>
      </c>
      <c r="B262" s="75" t="s">
        <v>1054</v>
      </c>
      <c r="C262" s="75" t="s">
        <v>117</v>
      </c>
      <c r="D262" s="131">
        <f>'Прил 5'!S632</f>
        <v>1102</v>
      </c>
      <c r="E262" s="131"/>
      <c r="F262" s="131"/>
    </row>
    <row r="263" spans="1:6" s="80" customFormat="1" ht="31.5" x14ac:dyDescent="0.25">
      <c r="A263" s="78" t="s">
        <v>1148</v>
      </c>
      <c r="B263" s="79" t="s">
        <v>980</v>
      </c>
      <c r="C263" s="79" t="s">
        <v>9</v>
      </c>
      <c r="D263" s="132">
        <f>D264</f>
        <v>310.86599999999999</v>
      </c>
      <c r="E263" s="131"/>
      <c r="F263" s="131"/>
    </row>
    <row r="264" spans="1:6" s="80" customFormat="1" x14ac:dyDescent="0.25">
      <c r="A264" s="74" t="s">
        <v>124</v>
      </c>
      <c r="B264" s="75" t="s">
        <v>980</v>
      </c>
      <c r="C264" s="75" t="s">
        <v>117</v>
      </c>
      <c r="D264" s="131">
        <f>'Прил 5'!S634</f>
        <v>310.86599999999999</v>
      </c>
      <c r="E264" s="131"/>
      <c r="F264" s="131"/>
    </row>
    <row r="265" spans="1:6" s="80" customFormat="1" ht="15.6" hidden="1" x14ac:dyDescent="0.3">
      <c r="A265" s="78" t="s">
        <v>895</v>
      </c>
      <c r="B265" s="79" t="s">
        <v>981</v>
      </c>
      <c r="C265" s="79" t="s">
        <v>9</v>
      </c>
      <c r="D265" s="132">
        <f>D266</f>
        <v>0</v>
      </c>
      <c r="E265" s="131"/>
      <c r="F265" s="131"/>
    </row>
    <row r="266" spans="1:6" s="80" customFormat="1" ht="15.6" hidden="1" x14ac:dyDescent="0.3">
      <c r="A266" s="74" t="s">
        <v>124</v>
      </c>
      <c r="B266" s="75" t="s">
        <v>981</v>
      </c>
      <c r="C266" s="75" t="s">
        <v>117</v>
      </c>
      <c r="D266" s="131">
        <f>'Прил 5'!S636</f>
        <v>0</v>
      </c>
      <c r="E266" s="131"/>
      <c r="F266" s="131"/>
    </row>
    <row r="267" spans="1:6" s="80" customFormat="1" ht="15.6" hidden="1" x14ac:dyDescent="0.3">
      <c r="A267" s="78" t="s">
        <v>895</v>
      </c>
      <c r="B267" s="79" t="s">
        <v>982</v>
      </c>
      <c r="C267" s="79" t="s">
        <v>9</v>
      </c>
      <c r="D267" s="132">
        <f>D268</f>
        <v>0</v>
      </c>
      <c r="E267" s="131"/>
      <c r="F267" s="131"/>
    </row>
    <row r="268" spans="1:6" s="80" customFormat="1" ht="15.6" hidden="1" x14ac:dyDescent="0.3">
      <c r="A268" s="74" t="s">
        <v>124</v>
      </c>
      <c r="B268" s="75" t="s">
        <v>982</v>
      </c>
      <c r="C268" s="75" t="s">
        <v>117</v>
      </c>
      <c r="D268" s="131">
        <f>'Прил 5'!S638</f>
        <v>0</v>
      </c>
      <c r="E268" s="131"/>
      <c r="F268" s="131"/>
    </row>
    <row r="269" spans="1:6" s="80" customFormat="1" ht="31.5" x14ac:dyDescent="0.25">
      <c r="A269" s="78" t="s">
        <v>1053</v>
      </c>
      <c r="B269" s="79" t="s">
        <v>1055</v>
      </c>
      <c r="C269" s="79" t="s">
        <v>9</v>
      </c>
      <c r="D269" s="132">
        <f>D270</f>
        <v>728.93200000000002</v>
      </c>
      <c r="E269" s="131"/>
      <c r="F269" s="131"/>
    </row>
    <row r="270" spans="1:6" s="80" customFormat="1" x14ac:dyDescent="0.25">
      <c r="A270" s="74" t="s">
        <v>124</v>
      </c>
      <c r="B270" s="75" t="s">
        <v>1055</v>
      </c>
      <c r="C270" s="75" t="s">
        <v>117</v>
      </c>
      <c r="D270" s="131">
        <f>'Прил 5'!S640</f>
        <v>728.93200000000002</v>
      </c>
      <c r="E270" s="131"/>
      <c r="F270" s="131"/>
    </row>
    <row r="271" spans="1:6" s="80" customFormat="1" ht="31.5" x14ac:dyDescent="0.25">
      <c r="A271" s="78" t="s">
        <v>954</v>
      </c>
      <c r="B271" s="79" t="s">
        <v>983</v>
      </c>
      <c r="C271" s="79" t="s">
        <v>9</v>
      </c>
      <c r="D271" s="132">
        <f>D272+D273</f>
        <v>3961.4</v>
      </c>
      <c r="E271" s="132"/>
      <c r="F271" s="132"/>
    </row>
    <row r="272" spans="1:6" s="80" customFormat="1" ht="15.6" hidden="1" x14ac:dyDescent="0.3">
      <c r="A272" s="74" t="s">
        <v>124</v>
      </c>
      <c r="B272" s="75" t="s">
        <v>983</v>
      </c>
      <c r="C272" s="75" t="s">
        <v>117</v>
      </c>
      <c r="D272" s="131">
        <f>'Прил 5'!S642</f>
        <v>0</v>
      </c>
      <c r="E272" s="132"/>
      <c r="F272" s="132"/>
    </row>
    <row r="273" spans="1:6" s="80" customFormat="1" x14ac:dyDescent="0.25">
      <c r="A273" s="74" t="s">
        <v>124</v>
      </c>
      <c r="B273" s="75" t="s">
        <v>983</v>
      </c>
      <c r="C273" s="75" t="s">
        <v>117</v>
      </c>
      <c r="D273" s="131">
        <f>'Прил 5'!S643</f>
        <v>3961.4</v>
      </c>
      <c r="E273" s="132"/>
      <c r="F273" s="132"/>
    </row>
    <row r="274" spans="1:6" s="80" customFormat="1" ht="31.5" x14ac:dyDescent="0.25">
      <c r="A274" s="78" t="s">
        <v>954</v>
      </c>
      <c r="B274" s="79" t="s">
        <v>984</v>
      </c>
      <c r="C274" s="79" t="s">
        <v>9</v>
      </c>
      <c r="D274" s="132">
        <f>D275+D276</f>
        <v>208.5</v>
      </c>
      <c r="E274" s="132"/>
      <c r="F274" s="132"/>
    </row>
    <row r="275" spans="1:6" s="80" customFormat="1" ht="15.6" hidden="1" x14ac:dyDescent="0.3">
      <c r="A275" s="74" t="s">
        <v>124</v>
      </c>
      <c r="B275" s="75" t="s">
        <v>984</v>
      </c>
      <c r="C275" s="75" t="s">
        <v>117</v>
      </c>
      <c r="D275" s="131">
        <f>'Прил 5'!S645</f>
        <v>0</v>
      </c>
      <c r="E275" s="132"/>
      <c r="F275" s="132"/>
    </row>
    <row r="276" spans="1:6" s="80" customFormat="1" x14ac:dyDescent="0.25">
      <c r="A276" s="74" t="s">
        <v>124</v>
      </c>
      <c r="B276" s="75" t="s">
        <v>984</v>
      </c>
      <c r="C276" s="75" t="s">
        <v>117</v>
      </c>
      <c r="D276" s="131">
        <f>'Прил 5'!S646</f>
        <v>208.5</v>
      </c>
      <c r="E276" s="132"/>
      <c r="F276" s="132"/>
    </row>
    <row r="277" spans="1:6" s="80" customFormat="1" ht="31.15" hidden="1" x14ac:dyDescent="0.3">
      <c r="A277" s="78" t="s">
        <v>954</v>
      </c>
      <c r="B277" s="79" t="s">
        <v>985</v>
      </c>
      <c r="C277" s="79" t="s">
        <v>9</v>
      </c>
      <c r="D277" s="132">
        <f>D278</f>
        <v>0</v>
      </c>
      <c r="E277" s="132"/>
      <c r="F277" s="132"/>
    </row>
    <row r="278" spans="1:6" s="80" customFormat="1" ht="15.6" hidden="1" x14ac:dyDescent="0.3">
      <c r="A278" s="74" t="s">
        <v>124</v>
      </c>
      <c r="B278" s="75" t="s">
        <v>985</v>
      </c>
      <c r="C278" s="75" t="s">
        <v>117</v>
      </c>
      <c r="D278" s="131">
        <f>'Прил 5'!S648</f>
        <v>0</v>
      </c>
      <c r="E278" s="132"/>
      <c r="F278" s="132"/>
    </row>
    <row r="279" spans="1:6" s="80" customFormat="1" ht="15.6" hidden="1" x14ac:dyDescent="0.3">
      <c r="A279" s="78" t="s">
        <v>986</v>
      </c>
      <c r="B279" s="79" t="s">
        <v>987</v>
      </c>
      <c r="C279" s="79" t="s">
        <v>9</v>
      </c>
      <c r="D279" s="132">
        <f>D280+D281</f>
        <v>0</v>
      </c>
      <c r="E279" s="132"/>
      <c r="F279" s="132"/>
    </row>
    <row r="280" spans="1:6" s="80" customFormat="1" ht="15.6" hidden="1" x14ac:dyDescent="0.3">
      <c r="A280" s="74" t="s">
        <v>124</v>
      </c>
      <c r="B280" s="75" t="s">
        <v>987</v>
      </c>
      <c r="C280" s="75" t="s">
        <v>117</v>
      </c>
      <c r="D280" s="131">
        <f>'Прил 5'!S660</f>
        <v>0</v>
      </c>
      <c r="E280" s="132"/>
      <c r="F280" s="132"/>
    </row>
    <row r="281" spans="1:6" s="80" customFormat="1" ht="15.6" hidden="1" x14ac:dyDescent="0.3">
      <c r="A281" s="74" t="s">
        <v>813</v>
      </c>
      <c r="B281" s="75" t="s">
        <v>987</v>
      </c>
      <c r="C281" s="75" t="s">
        <v>119</v>
      </c>
      <c r="D281" s="131">
        <f>'Прил 5'!S661</f>
        <v>0</v>
      </c>
      <c r="E281" s="132"/>
      <c r="F281" s="132"/>
    </row>
    <row r="282" spans="1:6" s="80" customFormat="1" ht="15.6" hidden="1" x14ac:dyDescent="0.3">
      <c r="A282" s="78" t="s">
        <v>986</v>
      </c>
      <c r="B282" s="79" t="s">
        <v>988</v>
      </c>
      <c r="C282" s="79" t="s">
        <v>9</v>
      </c>
      <c r="D282" s="132">
        <f>D283</f>
        <v>0</v>
      </c>
      <c r="E282" s="132"/>
      <c r="F282" s="132"/>
    </row>
    <row r="283" spans="1:6" s="80" customFormat="1" ht="15.6" hidden="1" x14ac:dyDescent="0.3">
      <c r="A283" s="74" t="s">
        <v>124</v>
      </c>
      <c r="B283" s="75" t="s">
        <v>988</v>
      </c>
      <c r="C283" s="75" t="s">
        <v>117</v>
      </c>
      <c r="D283" s="131">
        <f>'Прил 5'!S663</f>
        <v>0</v>
      </c>
      <c r="E283" s="132"/>
      <c r="F283" s="132"/>
    </row>
    <row r="284" spans="1:6" s="80" customFormat="1" ht="31.5" x14ac:dyDescent="0.25">
      <c r="A284" s="78" t="s">
        <v>848</v>
      </c>
      <c r="B284" s="79" t="s">
        <v>707</v>
      </c>
      <c r="C284" s="79" t="s">
        <v>9</v>
      </c>
      <c r="D284" s="132">
        <f>D285</f>
        <v>72.864000000000004</v>
      </c>
      <c r="E284" s="132" t="e">
        <f>E285</f>
        <v>#REF!</v>
      </c>
      <c r="F284" s="132" t="e">
        <f>F285</f>
        <v>#REF!</v>
      </c>
    </row>
    <row r="285" spans="1:6" s="80" customFormat="1" x14ac:dyDescent="0.25">
      <c r="A285" s="74" t="s">
        <v>124</v>
      </c>
      <c r="B285" s="75" t="s">
        <v>707</v>
      </c>
      <c r="C285" s="75" t="s">
        <v>117</v>
      </c>
      <c r="D285" s="131">
        <f>'Прил 5'!S724+'Прил 5'!S363</f>
        <v>72.864000000000004</v>
      </c>
      <c r="E285" s="131" t="e">
        <f>'Прил 5'!#REF!</f>
        <v>#REF!</v>
      </c>
      <c r="F285" s="131" t="e">
        <f>'Прил 5'!#REF!</f>
        <v>#REF!</v>
      </c>
    </row>
    <row r="286" spans="1:6" s="80" customFormat="1" ht="31.5" x14ac:dyDescent="0.25">
      <c r="A286" s="78" t="s">
        <v>848</v>
      </c>
      <c r="B286" s="79" t="s">
        <v>708</v>
      </c>
      <c r="C286" s="79" t="s">
        <v>9</v>
      </c>
      <c r="D286" s="132">
        <f>D287</f>
        <v>0.73599999999999999</v>
      </c>
      <c r="E286" s="132" t="e">
        <f>E287</f>
        <v>#REF!</v>
      </c>
      <c r="F286" s="132" t="e">
        <f>F287</f>
        <v>#REF!</v>
      </c>
    </row>
    <row r="287" spans="1:6" s="80" customFormat="1" x14ac:dyDescent="0.25">
      <c r="A287" s="74" t="s">
        <v>124</v>
      </c>
      <c r="B287" s="75" t="s">
        <v>708</v>
      </c>
      <c r="C287" s="75" t="s">
        <v>117</v>
      </c>
      <c r="D287" s="131">
        <f>'Прил 5'!S726+'Прил 5'!S365</f>
        <v>0.73599999999999999</v>
      </c>
      <c r="E287" s="131" t="e">
        <f>'Прил 5'!#REF!</f>
        <v>#REF!</v>
      </c>
      <c r="F287" s="131" t="e">
        <f>'Прил 5'!#REF!</f>
        <v>#REF!</v>
      </c>
    </row>
    <row r="288" spans="1:6" s="80" customFormat="1" ht="31.5" x14ac:dyDescent="0.25">
      <c r="A288" s="267" t="s">
        <v>1220</v>
      </c>
      <c r="B288" s="545" t="s">
        <v>1219</v>
      </c>
      <c r="C288" s="545" t="s">
        <v>9</v>
      </c>
      <c r="D288" s="132">
        <f>D289</f>
        <v>288</v>
      </c>
      <c r="E288" s="131"/>
      <c r="F288" s="131"/>
    </row>
    <row r="289" spans="1:6" s="80" customFormat="1" x14ac:dyDescent="0.25">
      <c r="A289" s="264" t="s">
        <v>124</v>
      </c>
      <c r="B289" s="75" t="s">
        <v>1219</v>
      </c>
      <c r="C289" s="75" t="s">
        <v>117</v>
      </c>
      <c r="D289" s="131">
        <f>'Прил 5'!S605</f>
        <v>288</v>
      </c>
      <c r="E289" s="131"/>
      <c r="F289" s="131"/>
    </row>
    <row r="290" spans="1:6" s="80" customFormat="1" ht="31.5" x14ac:dyDescent="0.25">
      <c r="A290" s="267" t="s">
        <v>1220</v>
      </c>
      <c r="B290" s="545" t="s">
        <v>1218</v>
      </c>
      <c r="C290" s="545" t="s">
        <v>9</v>
      </c>
      <c r="D290" s="132">
        <f>D291</f>
        <v>32</v>
      </c>
      <c r="E290" s="131"/>
      <c r="F290" s="131"/>
    </row>
    <row r="291" spans="1:6" s="80" customFormat="1" x14ac:dyDescent="0.25">
      <c r="A291" s="264" t="s">
        <v>124</v>
      </c>
      <c r="B291" s="75" t="s">
        <v>1218</v>
      </c>
      <c r="C291" s="75" t="s">
        <v>117</v>
      </c>
      <c r="D291" s="131">
        <f>'Прил 5'!S607</f>
        <v>32</v>
      </c>
      <c r="E291" s="131"/>
      <c r="F291" s="131"/>
    </row>
    <row r="292" spans="1:6" s="77" customFormat="1" ht="47.25" x14ac:dyDescent="0.25">
      <c r="A292" s="78" t="s">
        <v>1110</v>
      </c>
      <c r="B292" s="79" t="s">
        <v>416</v>
      </c>
      <c r="C292" s="79" t="s">
        <v>9</v>
      </c>
      <c r="D292" s="132">
        <f>D293+D295+D298+D300+D303+D306</f>
        <v>12276.3</v>
      </c>
      <c r="E292" s="132" t="e">
        <f>E293+E295+E298+E300+E303+E306</f>
        <v>#REF!</v>
      </c>
      <c r="F292" s="132" t="e">
        <f>F293+F295+F298+F300+F303+F306</f>
        <v>#REF!</v>
      </c>
    </row>
    <row r="293" spans="1:6" s="77" customFormat="1" x14ac:dyDescent="0.25">
      <c r="A293" s="78" t="s">
        <v>1108</v>
      </c>
      <c r="B293" s="79" t="s">
        <v>426</v>
      </c>
      <c r="C293" s="79" t="s">
        <v>9</v>
      </c>
      <c r="D293" s="132">
        <f>D294</f>
        <v>122.3</v>
      </c>
      <c r="E293" s="132" t="e">
        <f>E294</f>
        <v>#REF!</v>
      </c>
      <c r="F293" s="132" t="e">
        <f>F294</f>
        <v>#REF!</v>
      </c>
    </row>
    <row r="294" spans="1:6" s="80" customFormat="1" x14ac:dyDescent="0.25">
      <c r="A294" s="74" t="s">
        <v>124</v>
      </c>
      <c r="B294" s="75" t="s">
        <v>426</v>
      </c>
      <c r="C294" s="75" t="s">
        <v>117</v>
      </c>
      <c r="D294" s="131">
        <f>'Прил 5'!S435</f>
        <v>122.3</v>
      </c>
      <c r="E294" s="131" t="e">
        <f>'Прил 5'!#REF!</f>
        <v>#REF!</v>
      </c>
      <c r="F294" s="131" t="e">
        <f>'Прил 5'!#REF!</f>
        <v>#REF!</v>
      </c>
    </row>
    <row r="295" spans="1:6" s="80" customFormat="1" x14ac:dyDescent="0.25">
      <c r="A295" s="78" t="s">
        <v>77</v>
      </c>
      <c r="B295" s="79" t="s">
        <v>417</v>
      </c>
      <c r="C295" s="79" t="s">
        <v>9</v>
      </c>
      <c r="D295" s="132">
        <f>D296+D297</f>
        <v>2084</v>
      </c>
      <c r="E295" s="132" t="e">
        <f>E296+E297</f>
        <v>#REF!</v>
      </c>
      <c r="F295" s="132" t="e">
        <f>F296+F297</f>
        <v>#REF!</v>
      </c>
    </row>
    <row r="296" spans="1:6" s="77" customFormat="1" ht="47.25" x14ac:dyDescent="0.25">
      <c r="A296" s="74" t="s">
        <v>115</v>
      </c>
      <c r="B296" s="75" t="s">
        <v>417</v>
      </c>
      <c r="C296" s="75" t="s">
        <v>113</v>
      </c>
      <c r="D296" s="131">
        <f>'Прил 5'!S393</f>
        <v>2026.47</v>
      </c>
      <c r="E296" s="131" t="e">
        <f>'Прил 5'!#REF!</f>
        <v>#REF!</v>
      </c>
      <c r="F296" s="131" t="e">
        <f>'Прил 5'!#REF!</f>
        <v>#REF!</v>
      </c>
    </row>
    <row r="297" spans="1:6" s="77" customFormat="1" x14ac:dyDescent="0.25">
      <c r="A297" s="74" t="s">
        <v>124</v>
      </c>
      <c r="B297" s="75" t="s">
        <v>417</v>
      </c>
      <c r="C297" s="75" t="s">
        <v>117</v>
      </c>
      <c r="D297" s="131">
        <f>'Прил 5'!S394</f>
        <v>57.53</v>
      </c>
      <c r="E297" s="131" t="e">
        <f>'Прил 5'!#REF!</f>
        <v>#REF!</v>
      </c>
      <c r="F297" s="131" t="e">
        <f>'Прил 5'!#REF!</f>
        <v>#REF!</v>
      </c>
    </row>
    <row r="298" spans="1:6" s="77" customFormat="1" ht="31.5" x14ac:dyDescent="0.25">
      <c r="A298" s="78" t="s">
        <v>1112</v>
      </c>
      <c r="B298" s="79" t="s">
        <v>427</v>
      </c>
      <c r="C298" s="79" t="s">
        <v>9</v>
      </c>
      <c r="D298" s="132">
        <f>D299</f>
        <v>0.1</v>
      </c>
      <c r="E298" s="132" t="e">
        <f>E299</f>
        <v>#REF!</v>
      </c>
      <c r="F298" s="132" t="e">
        <f>F299</f>
        <v>#REF!</v>
      </c>
    </row>
    <row r="299" spans="1:6" s="77" customFormat="1" x14ac:dyDescent="0.25">
      <c r="A299" s="74" t="s">
        <v>124</v>
      </c>
      <c r="B299" s="75" t="s">
        <v>427</v>
      </c>
      <c r="C299" s="75" t="s">
        <v>117</v>
      </c>
      <c r="D299" s="131">
        <f>'Прил 5'!S437</f>
        <v>0.1</v>
      </c>
      <c r="E299" s="131" t="e">
        <f>'Прил 5'!#REF!</f>
        <v>#REF!</v>
      </c>
      <c r="F299" s="131" t="e">
        <f>'Прил 5'!#REF!</f>
        <v>#REF!</v>
      </c>
    </row>
    <row r="300" spans="1:6" s="80" customFormat="1" ht="63" x14ac:dyDescent="0.25">
      <c r="A300" s="78" t="s">
        <v>1111</v>
      </c>
      <c r="B300" s="79" t="s">
        <v>418</v>
      </c>
      <c r="C300" s="79" t="s">
        <v>9</v>
      </c>
      <c r="D300" s="132">
        <f>D301+D302</f>
        <v>1267</v>
      </c>
      <c r="E300" s="132" t="e">
        <f>E301+E302</f>
        <v>#REF!</v>
      </c>
      <c r="F300" s="132" t="e">
        <f>F301+F302</f>
        <v>#REF!</v>
      </c>
    </row>
    <row r="301" spans="1:6" s="80" customFormat="1" ht="47.25" x14ac:dyDescent="0.25">
      <c r="A301" s="74" t="s">
        <v>115</v>
      </c>
      <c r="B301" s="75" t="s">
        <v>418</v>
      </c>
      <c r="C301" s="75" t="s">
        <v>113</v>
      </c>
      <c r="D301" s="131">
        <f>'Прил 5'!S396</f>
        <v>1267</v>
      </c>
      <c r="E301" s="131" t="e">
        <f>'Прил 5'!#REF!</f>
        <v>#REF!</v>
      </c>
      <c r="F301" s="131" t="e">
        <f>'Прил 5'!#REF!</f>
        <v>#REF!</v>
      </c>
    </row>
    <row r="302" spans="1:6" s="80" customFormat="1" ht="15.6" hidden="1" x14ac:dyDescent="0.3">
      <c r="A302" s="74" t="s">
        <v>124</v>
      </c>
      <c r="B302" s="75" t="s">
        <v>418</v>
      </c>
      <c r="C302" s="75" t="s">
        <v>117</v>
      </c>
      <c r="D302" s="131">
        <f>'Прил 5'!S397</f>
        <v>0</v>
      </c>
      <c r="E302" s="131" t="e">
        <f>'Прил 5'!#REF!</f>
        <v>#REF!</v>
      </c>
      <c r="F302" s="131" t="e">
        <f>'Прил 5'!#REF!</f>
        <v>#REF!</v>
      </c>
    </row>
    <row r="303" spans="1:6" s="80" customFormat="1" ht="63" x14ac:dyDescent="0.25">
      <c r="A303" s="78" t="s">
        <v>96</v>
      </c>
      <c r="B303" s="79" t="s">
        <v>456</v>
      </c>
      <c r="C303" s="79" t="s">
        <v>9</v>
      </c>
      <c r="D303" s="132">
        <f>D304+D305</f>
        <v>8757</v>
      </c>
      <c r="E303" s="132" t="e">
        <f>E304+E305</f>
        <v>#REF!</v>
      </c>
      <c r="F303" s="132" t="e">
        <f>F304+F305</f>
        <v>#REF!</v>
      </c>
    </row>
    <row r="304" spans="1:6" s="77" customFormat="1" x14ac:dyDescent="0.25">
      <c r="A304" s="74" t="s">
        <v>124</v>
      </c>
      <c r="B304" s="75" t="s">
        <v>456</v>
      </c>
      <c r="C304" s="75" t="s">
        <v>117</v>
      </c>
      <c r="D304" s="131">
        <f>'Прил 5'!S797</f>
        <v>181</v>
      </c>
      <c r="E304" s="131" t="e">
        <f>'Прил 5'!#REF!</f>
        <v>#REF!</v>
      </c>
      <c r="F304" s="131" t="e">
        <f>'Прил 5'!#REF!</f>
        <v>#REF!</v>
      </c>
    </row>
    <row r="305" spans="1:6" s="80" customFormat="1" x14ac:dyDescent="0.25">
      <c r="A305" s="74" t="s">
        <v>125</v>
      </c>
      <c r="B305" s="75" t="s">
        <v>456</v>
      </c>
      <c r="C305" s="75" t="s">
        <v>118</v>
      </c>
      <c r="D305" s="131">
        <f>'Прил 5'!S798</f>
        <v>8576</v>
      </c>
      <c r="E305" s="131" t="e">
        <f>'Прил 5'!#REF!</f>
        <v>#REF!</v>
      </c>
      <c r="F305" s="131" t="e">
        <f>'Прил 5'!#REF!</f>
        <v>#REF!</v>
      </c>
    </row>
    <row r="306" spans="1:6" s="80" customFormat="1" ht="63" x14ac:dyDescent="0.25">
      <c r="A306" s="78" t="s">
        <v>1109</v>
      </c>
      <c r="B306" s="79" t="s">
        <v>457</v>
      </c>
      <c r="C306" s="79" t="s">
        <v>9</v>
      </c>
      <c r="D306" s="132">
        <f t="shared" ref="D306:F307" si="3">D307</f>
        <v>45.9</v>
      </c>
      <c r="E306" s="132" t="e">
        <f t="shared" si="3"/>
        <v>#REF!</v>
      </c>
      <c r="F306" s="132" t="e">
        <f t="shared" si="3"/>
        <v>#REF!</v>
      </c>
    </row>
    <row r="307" spans="1:6" s="77" customFormat="1" x14ac:dyDescent="0.25">
      <c r="A307" s="78" t="s">
        <v>462</v>
      </c>
      <c r="B307" s="79" t="s">
        <v>461</v>
      </c>
      <c r="C307" s="79" t="s">
        <v>9</v>
      </c>
      <c r="D307" s="132">
        <f t="shared" si="3"/>
        <v>45.9</v>
      </c>
      <c r="E307" s="132" t="e">
        <f t="shared" si="3"/>
        <v>#REF!</v>
      </c>
      <c r="F307" s="132" t="e">
        <f t="shared" si="3"/>
        <v>#REF!</v>
      </c>
    </row>
    <row r="308" spans="1:6" s="80" customFormat="1" x14ac:dyDescent="0.25">
      <c r="A308" s="74" t="s">
        <v>124</v>
      </c>
      <c r="B308" s="75" t="s">
        <v>461</v>
      </c>
      <c r="C308" s="75" t="s">
        <v>117</v>
      </c>
      <c r="D308" s="131">
        <f>'Прил 5'!S801</f>
        <v>45.9</v>
      </c>
      <c r="E308" s="131" t="e">
        <f>'Прил 5'!#REF!</f>
        <v>#REF!</v>
      </c>
      <c r="F308" s="131" t="e">
        <f>'Прил 5'!#REF!</f>
        <v>#REF!</v>
      </c>
    </row>
    <row r="309" spans="1:6" s="80" customFormat="1" x14ac:dyDescent="0.25">
      <c r="A309" s="78" t="s">
        <v>33</v>
      </c>
      <c r="B309" s="79" t="s">
        <v>992</v>
      </c>
      <c r="C309" s="79" t="s">
        <v>9</v>
      </c>
      <c r="D309" s="132">
        <f>D314+D312+D310</f>
        <v>460.5</v>
      </c>
      <c r="E309" s="131"/>
      <c r="F309" s="131"/>
    </row>
    <row r="310" spans="1:6" s="80" customFormat="1" ht="46.9" hidden="1" x14ac:dyDescent="0.3">
      <c r="A310" s="78" t="s">
        <v>1169</v>
      </c>
      <c r="B310" s="79" t="s">
        <v>1168</v>
      </c>
      <c r="C310" s="79" t="s">
        <v>9</v>
      </c>
      <c r="D310" s="132">
        <f>D311</f>
        <v>0</v>
      </c>
      <c r="E310" s="131"/>
      <c r="F310" s="131"/>
    </row>
    <row r="311" spans="1:6" s="80" customFormat="1" ht="15.6" hidden="1" x14ac:dyDescent="0.3">
      <c r="A311" s="74" t="s">
        <v>125</v>
      </c>
      <c r="B311" s="75" t="s">
        <v>1168</v>
      </c>
      <c r="C311" s="75" t="s">
        <v>118</v>
      </c>
      <c r="D311" s="132">
        <f>'Прил 5'!S822</f>
        <v>0</v>
      </c>
      <c r="E311" s="131"/>
      <c r="F311" s="131"/>
    </row>
    <row r="312" spans="1:6" s="80" customFormat="1" ht="47.25" x14ac:dyDescent="0.25">
      <c r="A312" s="78" t="s">
        <v>1062</v>
      </c>
      <c r="B312" s="79" t="s">
        <v>994</v>
      </c>
      <c r="C312" s="79" t="s">
        <v>9</v>
      </c>
      <c r="D312" s="132">
        <f>D313</f>
        <v>460.5</v>
      </c>
      <c r="E312" s="131"/>
      <c r="F312" s="131"/>
    </row>
    <row r="313" spans="1:6" s="80" customFormat="1" x14ac:dyDescent="0.25">
      <c r="A313" s="264" t="s">
        <v>125</v>
      </c>
      <c r="B313" s="79" t="s">
        <v>994</v>
      </c>
      <c r="C313" s="75" t="s">
        <v>118</v>
      </c>
      <c r="D313" s="132">
        <f>'Прил 5'!S824</f>
        <v>460.5</v>
      </c>
      <c r="E313" s="131"/>
      <c r="F313" s="131"/>
    </row>
    <row r="314" spans="1:6" s="80" customFormat="1" ht="31.15" hidden="1" x14ac:dyDescent="0.3">
      <c r="A314" s="78" t="s">
        <v>1056</v>
      </c>
      <c r="B314" s="79" t="s">
        <v>1057</v>
      </c>
      <c r="C314" s="79" t="s">
        <v>9</v>
      </c>
      <c r="D314" s="132">
        <f>D315</f>
        <v>0</v>
      </c>
      <c r="E314" s="131"/>
      <c r="F314" s="131"/>
    </row>
    <row r="315" spans="1:6" s="80" customFormat="1" ht="15.6" hidden="1" x14ac:dyDescent="0.3">
      <c r="A315" s="74" t="s">
        <v>116</v>
      </c>
      <c r="B315" s="79" t="s">
        <v>1057</v>
      </c>
      <c r="C315" s="75" t="s">
        <v>114</v>
      </c>
      <c r="D315" s="132">
        <f>'Прил 5'!S650</f>
        <v>0</v>
      </c>
      <c r="E315" s="131"/>
      <c r="F315" s="131"/>
    </row>
    <row r="316" spans="1:6" s="80" customFormat="1" ht="47.25" x14ac:dyDescent="0.25">
      <c r="A316" s="78" t="s">
        <v>993</v>
      </c>
      <c r="B316" s="79" t="s">
        <v>994</v>
      </c>
      <c r="C316" s="79" t="s">
        <v>9</v>
      </c>
      <c r="D316" s="132">
        <f>D317</f>
        <v>460.5</v>
      </c>
      <c r="E316" s="131"/>
      <c r="F316" s="131"/>
    </row>
    <row r="317" spans="1:6" s="80" customFormat="1" x14ac:dyDescent="0.25">
      <c r="A317" s="74" t="s">
        <v>125</v>
      </c>
      <c r="B317" s="75" t="s">
        <v>994</v>
      </c>
      <c r="C317" s="75" t="s">
        <v>118</v>
      </c>
      <c r="D317" s="131">
        <f>'Прил 5'!S824</f>
        <v>460.5</v>
      </c>
      <c r="E317" s="131"/>
      <c r="F317" s="131"/>
    </row>
    <row r="318" spans="1:6" s="77" customFormat="1" x14ac:dyDescent="0.25">
      <c r="A318" s="78" t="s">
        <v>127</v>
      </c>
      <c r="B318" s="79" t="s">
        <v>419</v>
      </c>
      <c r="C318" s="79" t="s">
        <v>9</v>
      </c>
      <c r="D318" s="132">
        <f>D319+D321</f>
        <v>2386</v>
      </c>
      <c r="E318" s="132" t="e">
        <f>E319+E321</f>
        <v>#REF!</v>
      </c>
      <c r="F318" s="132" t="e">
        <f>F319+F321</f>
        <v>#REF!</v>
      </c>
    </row>
    <row r="319" spans="1:6" s="80" customFormat="1" x14ac:dyDescent="0.25">
      <c r="A319" s="78" t="s">
        <v>128</v>
      </c>
      <c r="B319" s="79" t="s">
        <v>435</v>
      </c>
      <c r="C319" s="79" t="s">
        <v>9</v>
      </c>
      <c r="D319" s="132">
        <f>D320</f>
        <v>86</v>
      </c>
      <c r="E319" s="132" t="e">
        <f>E320</f>
        <v>#REF!</v>
      </c>
      <c r="F319" s="132" t="e">
        <f>F320</f>
        <v>#REF!</v>
      </c>
    </row>
    <row r="320" spans="1:6" s="80" customFormat="1" x14ac:dyDescent="0.25">
      <c r="A320" s="74" t="s">
        <v>123</v>
      </c>
      <c r="B320" s="75" t="s">
        <v>435</v>
      </c>
      <c r="C320" s="75" t="s">
        <v>119</v>
      </c>
      <c r="D320" s="131">
        <f>'Прил 5'!S477</f>
        <v>86</v>
      </c>
      <c r="E320" s="131" t="e">
        <f>'Прил 5'!#REF!</f>
        <v>#REF!</v>
      </c>
      <c r="F320" s="131" t="e">
        <f>'Прил 5'!#REF!</f>
        <v>#REF!</v>
      </c>
    </row>
    <row r="321" spans="1:6" s="80" customFormat="1" ht="31.5" x14ac:dyDescent="0.25">
      <c r="A321" s="78" t="s">
        <v>16</v>
      </c>
      <c r="B321" s="79" t="s">
        <v>420</v>
      </c>
      <c r="C321" s="79" t="s">
        <v>9</v>
      </c>
      <c r="D321" s="132">
        <f>D322</f>
        <v>2300</v>
      </c>
      <c r="E321" s="132" t="e">
        <f>E322</f>
        <v>#REF!</v>
      </c>
      <c r="F321" s="132" t="e">
        <f>F322</f>
        <v>#REF!</v>
      </c>
    </row>
    <row r="322" spans="1:6" s="80" customFormat="1" ht="47.25" x14ac:dyDescent="0.25">
      <c r="A322" s="74" t="s">
        <v>115</v>
      </c>
      <c r="B322" s="75" t="s">
        <v>420</v>
      </c>
      <c r="C322" s="75" t="s">
        <v>113</v>
      </c>
      <c r="D322" s="131">
        <f>'Прил 5'!S400+'Прил 5'!S804</f>
        <v>2300</v>
      </c>
      <c r="E322" s="131" t="e">
        <f>'Прил 5'!#REF!+'Прил 5'!#REF!</f>
        <v>#REF!</v>
      </c>
      <c r="F322" s="131" t="e">
        <f>'Прил 5'!#REF!+'Прил 5'!#REF!</f>
        <v>#REF!</v>
      </c>
    </row>
    <row r="323" spans="1:6" s="77" customFormat="1" ht="47.25" x14ac:dyDescent="0.25">
      <c r="A323" s="78" t="s">
        <v>655</v>
      </c>
      <c r="B323" s="79" t="s">
        <v>654</v>
      </c>
      <c r="C323" s="79" t="s">
        <v>9</v>
      </c>
      <c r="D323" s="132">
        <f>D324</f>
        <v>5.3</v>
      </c>
      <c r="E323" s="132" t="e">
        <f>E324</f>
        <v>#REF!</v>
      </c>
      <c r="F323" s="132" t="e">
        <f>F324</f>
        <v>#REF!</v>
      </c>
    </row>
    <row r="324" spans="1:6" s="77" customFormat="1" x14ac:dyDescent="0.25">
      <c r="A324" s="74" t="s">
        <v>124</v>
      </c>
      <c r="B324" s="75" t="s">
        <v>654</v>
      </c>
      <c r="C324" s="75" t="s">
        <v>117</v>
      </c>
      <c r="D324" s="131">
        <f>'Прил 5'!S413</f>
        <v>5.3</v>
      </c>
      <c r="E324" s="131" t="e">
        <f>'Прил 5'!#REF!</f>
        <v>#REF!</v>
      </c>
      <c r="F324" s="131" t="e">
        <f>'Прил 5'!#REF!</f>
        <v>#REF!</v>
      </c>
    </row>
    <row r="325" spans="1:6" s="77" customFormat="1" ht="31.5" x14ac:dyDescent="0.25">
      <c r="A325" s="78" t="s">
        <v>1064</v>
      </c>
      <c r="B325" s="79" t="s">
        <v>1065</v>
      </c>
      <c r="C325" s="79" t="s">
        <v>9</v>
      </c>
      <c r="D325" s="132">
        <f>D326</f>
        <v>549.5544000000001</v>
      </c>
      <c r="E325" s="131"/>
      <c r="F325" s="131"/>
    </row>
    <row r="326" spans="1:6" s="77" customFormat="1" x14ac:dyDescent="0.25">
      <c r="A326" s="74" t="s">
        <v>124</v>
      </c>
      <c r="B326" s="79" t="s">
        <v>1065</v>
      </c>
      <c r="C326" s="75" t="s">
        <v>117</v>
      </c>
      <c r="D326" s="131">
        <f>'Прил 5'!S833</f>
        <v>549.5544000000001</v>
      </c>
      <c r="E326" s="131"/>
      <c r="F326" s="131"/>
    </row>
    <row r="327" spans="1:6" s="77" customFormat="1" ht="31.5" x14ac:dyDescent="0.25">
      <c r="A327" s="78" t="s">
        <v>576</v>
      </c>
      <c r="B327" s="79" t="s">
        <v>421</v>
      </c>
      <c r="C327" s="79" t="s">
        <v>9</v>
      </c>
      <c r="D327" s="132">
        <f>D330+D332+D337+D341+D345+D349+D354+D358+D352+D328</f>
        <v>57733.870120000007</v>
      </c>
      <c r="E327" s="132" t="e">
        <f>E330+E332+E337+E341+E345+E349+E354+E358+E352</f>
        <v>#REF!</v>
      </c>
      <c r="F327" s="132" t="e">
        <f>F330+F332+F337+F341+F345+F349+F354+F358+F352</f>
        <v>#REF!</v>
      </c>
    </row>
    <row r="328" spans="1:6" s="80" customFormat="1" x14ac:dyDescent="0.25">
      <c r="A328" s="78" t="s">
        <v>210</v>
      </c>
      <c r="B328" s="79" t="s">
        <v>790</v>
      </c>
      <c r="C328" s="79" t="s">
        <v>9</v>
      </c>
      <c r="D328" s="132">
        <f>D329</f>
        <v>1479.3</v>
      </c>
      <c r="E328" s="132" t="e">
        <f>E329</f>
        <v>#REF!</v>
      </c>
      <c r="F328" s="132" t="e">
        <f>F329</f>
        <v>#REF!</v>
      </c>
    </row>
    <row r="329" spans="1:6" s="77" customFormat="1" ht="47.25" x14ac:dyDescent="0.25">
      <c r="A329" s="74" t="s">
        <v>115</v>
      </c>
      <c r="B329" s="75" t="s">
        <v>790</v>
      </c>
      <c r="C329" s="75" t="s">
        <v>113</v>
      </c>
      <c r="D329" s="131">
        <f>'Прил 5'!S378</f>
        <v>1479.3</v>
      </c>
      <c r="E329" s="131" t="e">
        <f>'Прил 5'!#REF!</f>
        <v>#REF!</v>
      </c>
      <c r="F329" s="131" t="e">
        <f>'Прил 5'!#REF!</f>
        <v>#REF!</v>
      </c>
    </row>
    <row r="330" spans="1:6" s="77" customFormat="1" x14ac:dyDescent="0.25">
      <c r="A330" s="78" t="s">
        <v>29</v>
      </c>
      <c r="B330" s="79" t="s">
        <v>428</v>
      </c>
      <c r="C330" s="79" t="s">
        <v>9</v>
      </c>
      <c r="D330" s="132">
        <f>D331</f>
        <v>1124.8399999999999</v>
      </c>
      <c r="E330" s="132" t="e">
        <f>E331</f>
        <v>#REF!</v>
      </c>
      <c r="F330" s="132" t="e">
        <f>F331</f>
        <v>#REF!</v>
      </c>
    </row>
    <row r="331" spans="1:6" s="77" customFormat="1" ht="47.25" x14ac:dyDescent="0.25">
      <c r="A331" s="74" t="s">
        <v>115</v>
      </c>
      <c r="B331" s="75" t="s">
        <v>428</v>
      </c>
      <c r="C331" s="75" t="s">
        <v>113</v>
      </c>
      <c r="D331" s="131">
        <f>'Прил 5'!S440</f>
        <v>1124.8399999999999</v>
      </c>
      <c r="E331" s="131" t="e">
        <f>'Прил 5'!#REF!</f>
        <v>#REF!</v>
      </c>
      <c r="F331" s="131" t="e">
        <f>'Прил 5'!#REF!</f>
        <v>#REF!</v>
      </c>
    </row>
    <row r="332" spans="1:6" s="77" customFormat="1" x14ac:dyDescent="0.25">
      <c r="A332" s="78" t="s">
        <v>79</v>
      </c>
      <c r="B332" s="79" t="s">
        <v>429</v>
      </c>
      <c r="C332" s="79" t="s">
        <v>9</v>
      </c>
      <c r="D332" s="132">
        <f>D333+D334+D336+D335</f>
        <v>8673.9756199999993</v>
      </c>
      <c r="E332" s="132" t="e">
        <f>E333+E334+E336</f>
        <v>#REF!</v>
      </c>
      <c r="F332" s="132" t="e">
        <f>F333+F334+F336</f>
        <v>#REF!</v>
      </c>
    </row>
    <row r="333" spans="1:6" s="77" customFormat="1" ht="46.9" hidden="1" x14ac:dyDescent="0.3">
      <c r="A333" s="74" t="s">
        <v>115</v>
      </c>
      <c r="B333" s="75" t="s">
        <v>429</v>
      </c>
      <c r="C333" s="75" t="s">
        <v>113</v>
      </c>
      <c r="D333" s="131">
        <f>'Прил 5'!S442</f>
        <v>0</v>
      </c>
      <c r="E333" s="131" t="e">
        <f>'Прил 5'!#REF!</f>
        <v>#REF!</v>
      </c>
      <c r="F333" s="131" t="e">
        <f>'Прил 5'!#REF!</f>
        <v>#REF!</v>
      </c>
    </row>
    <row r="334" spans="1:6" s="80" customFormat="1" x14ac:dyDescent="0.25">
      <c r="A334" s="74" t="s">
        <v>124</v>
      </c>
      <c r="B334" s="75" t="s">
        <v>429</v>
      </c>
      <c r="C334" s="75" t="s">
        <v>117</v>
      </c>
      <c r="D334" s="131">
        <f>'Прил 5'!S443</f>
        <v>3258.5926000000004</v>
      </c>
      <c r="E334" s="131" t="e">
        <f>'Прил 5'!#REF!</f>
        <v>#REF!</v>
      </c>
      <c r="F334" s="131" t="e">
        <f>'Прил 5'!#REF!</f>
        <v>#REF!</v>
      </c>
    </row>
    <row r="335" spans="1:6" s="80" customFormat="1" x14ac:dyDescent="0.25">
      <c r="A335" s="74" t="s">
        <v>125</v>
      </c>
      <c r="B335" s="75" t="s">
        <v>429</v>
      </c>
      <c r="C335" s="75" t="s">
        <v>118</v>
      </c>
      <c r="D335" s="131">
        <f>'Прил 5'!S444+'Прил 5'!S807</f>
        <v>156</v>
      </c>
      <c r="E335" s="131"/>
      <c r="F335" s="131"/>
    </row>
    <row r="336" spans="1:6" s="80" customFormat="1" x14ac:dyDescent="0.25">
      <c r="A336" s="74" t="s">
        <v>116</v>
      </c>
      <c r="B336" s="75" t="s">
        <v>429</v>
      </c>
      <c r="C336" s="75" t="s">
        <v>114</v>
      </c>
      <c r="D336" s="131">
        <f>'Прил 5'!S445</f>
        <v>5259.3830199999993</v>
      </c>
      <c r="E336" s="131" t="e">
        <f>'Прил 5'!#REF!</f>
        <v>#REF!</v>
      </c>
      <c r="F336" s="131" t="e">
        <f>'Прил 5'!#REF!</f>
        <v>#REF!</v>
      </c>
    </row>
    <row r="337" spans="1:6" s="80" customFormat="1" x14ac:dyDescent="0.25">
      <c r="A337" s="78" t="s">
        <v>26</v>
      </c>
      <c r="B337" s="79" t="s">
        <v>422</v>
      </c>
      <c r="C337" s="79" t="s">
        <v>9</v>
      </c>
      <c r="D337" s="132">
        <f>D338+D339+D340</f>
        <v>22003.360000000001</v>
      </c>
      <c r="E337" s="132" t="e">
        <f>E338+E339</f>
        <v>#REF!</v>
      </c>
      <c r="F337" s="132" t="e">
        <f>F338+F339</f>
        <v>#REF!</v>
      </c>
    </row>
    <row r="338" spans="1:6" s="80" customFormat="1" ht="47.25" x14ac:dyDescent="0.25">
      <c r="A338" s="74" t="s">
        <v>115</v>
      </c>
      <c r="B338" s="75" t="s">
        <v>422</v>
      </c>
      <c r="C338" s="75" t="s">
        <v>113</v>
      </c>
      <c r="D338" s="131">
        <f>'Прил 5'!S403+'Прил 5'!S809</f>
        <v>22003.360000000001</v>
      </c>
      <c r="E338" s="131" t="e">
        <f>'Прил 5'!#REF!+'Прил 5'!#REF!</f>
        <v>#REF!</v>
      </c>
      <c r="F338" s="131" t="e">
        <f>'Прил 5'!#REF!+'Прил 5'!#REF!</f>
        <v>#REF!</v>
      </c>
    </row>
    <row r="339" spans="1:6" s="77" customFormat="1" ht="15.6" hidden="1" x14ac:dyDescent="0.3">
      <c r="A339" s="74" t="s">
        <v>124</v>
      </c>
      <c r="B339" s="75" t="s">
        <v>422</v>
      </c>
      <c r="C339" s="75" t="s">
        <v>117</v>
      </c>
      <c r="D339" s="131">
        <f>'Прил 5'!S404</f>
        <v>0</v>
      </c>
      <c r="E339" s="131" t="e">
        <f>'Прил 5'!#REF!</f>
        <v>#REF!</v>
      </c>
      <c r="F339" s="131" t="e">
        <f>'Прил 5'!#REF!</f>
        <v>#REF!</v>
      </c>
    </row>
    <row r="340" spans="1:6" s="77" customFormat="1" ht="15.6" hidden="1" x14ac:dyDescent="0.3">
      <c r="A340" s="74" t="s">
        <v>125</v>
      </c>
      <c r="B340" s="75" t="s">
        <v>422</v>
      </c>
      <c r="C340" s="75" t="s">
        <v>118</v>
      </c>
      <c r="D340" s="131">
        <f>'Прил 5'!S405</f>
        <v>0</v>
      </c>
      <c r="E340" s="131"/>
      <c r="F340" s="131"/>
    </row>
    <row r="341" spans="1:6" s="80" customFormat="1" x14ac:dyDescent="0.25">
      <c r="A341" s="78" t="s">
        <v>129</v>
      </c>
      <c r="B341" s="79" t="s">
        <v>430</v>
      </c>
      <c r="C341" s="79" t="s">
        <v>9</v>
      </c>
      <c r="D341" s="132">
        <f>D342+D343+D344</f>
        <v>12426.094499999999</v>
      </c>
      <c r="E341" s="132" t="e">
        <f>E342+E343+E344</f>
        <v>#REF!</v>
      </c>
      <c r="F341" s="132" t="e">
        <f>F342+F343+F344</f>
        <v>#REF!</v>
      </c>
    </row>
    <row r="342" spans="1:6" s="80" customFormat="1" x14ac:dyDescent="0.25">
      <c r="A342" s="74" t="s">
        <v>1003</v>
      </c>
      <c r="B342" s="75" t="s">
        <v>430</v>
      </c>
      <c r="C342" s="75" t="s">
        <v>113</v>
      </c>
      <c r="D342" s="131">
        <f>'Прил 5'!S447+'Прил 5'!S811</f>
        <v>4575.8999999999996</v>
      </c>
      <c r="E342" s="131" t="e">
        <f>'Прил 5'!#REF!</f>
        <v>#REF!</v>
      </c>
      <c r="F342" s="131" t="e">
        <f>'Прил 5'!#REF!</f>
        <v>#REF!</v>
      </c>
    </row>
    <row r="343" spans="1:6" s="80" customFormat="1" x14ac:dyDescent="0.25">
      <c r="A343" s="74" t="s">
        <v>124</v>
      </c>
      <c r="B343" s="75" t="s">
        <v>430</v>
      </c>
      <c r="C343" s="75" t="s">
        <v>117</v>
      </c>
      <c r="D343" s="131">
        <f>'Прил 5'!S448</f>
        <v>7563.2605000000003</v>
      </c>
      <c r="E343" s="131" t="e">
        <f>'Прил 5'!#REF!</f>
        <v>#REF!</v>
      </c>
      <c r="F343" s="131" t="e">
        <f>'Прил 5'!#REF!</f>
        <v>#REF!</v>
      </c>
    </row>
    <row r="344" spans="1:6" s="77" customFormat="1" x14ac:dyDescent="0.25">
      <c r="A344" s="74" t="s">
        <v>116</v>
      </c>
      <c r="B344" s="75" t="s">
        <v>430</v>
      </c>
      <c r="C344" s="75" t="s">
        <v>114</v>
      </c>
      <c r="D344" s="131">
        <f>'Прил 5'!S449</f>
        <v>286.93399999999997</v>
      </c>
      <c r="E344" s="131" t="e">
        <f>'Прил 5'!#REF!</f>
        <v>#REF!</v>
      </c>
      <c r="F344" s="131" t="e">
        <f>'Прил 5'!#REF!</f>
        <v>#REF!</v>
      </c>
    </row>
    <row r="345" spans="1:6" s="80" customFormat="1" ht="15.6" hidden="1" x14ac:dyDescent="0.3">
      <c r="A345" s="78" t="s">
        <v>129</v>
      </c>
      <c r="B345" s="79" t="s">
        <v>523</v>
      </c>
      <c r="C345" s="79" t="s">
        <v>9</v>
      </c>
      <c r="D345" s="132">
        <f>D347+D348+D346</f>
        <v>0</v>
      </c>
      <c r="E345" s="132" t="e">
        <f>E347+E348+E346</f>
        <v>#REF!</v>
      </c>
      <c r="F345" s="132" t="e">
        <f>F347+F348+F346</f>
        <v>#REF!</v>
      </c>
    </row>
    <row r="346" spans="1:6" s="77" customFormat="1" ht="46.9" hidden="1" x14ac:dyDescent="0.3">
      <c r="A346" s="74" t="s">
        <v>115</v>
      </c>
      <c r="B346" s="75" t="s">
        <v>523</v>
      </c>
      <c r="C346" s="75" t="s">
        <v>113</v>
      </c>
      <c r="D346" s="131">
        <f>'Прил 5'!S451</f>
        <v>0</v>
      </c>
      <c r="E346" s="131" t="e">
        <f>'Прил 5'!#REF!</f>
        <v>#REF!</v>
      </c>
      <c r="F346" s="131" t="e">
        <f>'Прил 5'!#REF!</f>
        <v>#REF!</v>
      </c>
    </row>
    <row r="347" spans="1:6" s="77" customFormat="1" ht="15.6" hidden="1" x14ac:dyDescent="0.3">
      <c r="A347" s="74" t="s">
        <v>124</v>
      </c>
      <c r="B347" s="75" t="s">
        <v>523</v>
      </c>
      <c r="C347" s="75" t="s">
        <v>117</v>
      </c>
      <c r="D347" s="131">
        <f>'Прил 5'!S452</f>
        <v>0</v>
      </c>
      <c r="E347" s="131" t="e">
        <f>'Прил 5'!#REF!</f>
        <v>#REF!</v>
      </c>
      <c r="F347" s="131" t="e">
        <f>'Прил 5'!#REF!</f>
        <v>#REF!</v>
      </c>
    </row>
    <row r="348" spans="1:6" s="77" customFormat="1" ht="15.6" hidden="1" x14ac:dyDescent="0.3">
      <c r="A348" s="74" t="s">
        <v>116</v>
      </c>
      <c r="B348" s="75" t="s">
        <v>523</v>
      </c>
      <c r="C348" s="75" t="s">
        <v>114</v>
      </c>
      <c r="D348" s="131">
        <f>'Прил 5'!S453</f>
        <v>0</v>
      </c>
      <c r="E348" s="131" t="e">
        <f>'Прил 5'!#REF!</f>
        <v>#REF!</v>
      </c>
      <c r="F348" s="131" t="e">
        <f>'Прил 5'!#REF!</f>
        <v>#REF!</v>
      </c>
    </row>
    <row r="349" spans="1:6" s="77" customFormat="1" x14ac:dyDescent="0.25">
      <c r="A349" s="78" t="s">
        <v>82</v>
      </c>
      <c r="B349" s="79" t="s">
        <v>436</v>
      </c>
      <c r="C349" s="79" t="s">
        <v>9</v>
      </c>
      <c r="D349" s="132">
        <f>D350+D351</f>
        <v>1521.6</v>
      </c>
      <c r="E349" s="132" t="e">
        <f>E350+E351</f>
        <v>#REF!</v>
      </c>
      <c r="F349" s="132" t="e">
        <f>F350+F351</f>
        <v>#REF!</v>
      </c>
    </row>
    <row r="350" spans="1:6" s="80" customFormat="1" ht="47.25" x14ac:dyDescent="0.25">
      <c r="A350" s="74" t="s">
        <v>115</v>
      </c>
      <c r="B350" s="75" t="s">
        <v>436</v>
      </c>
      <c r="C350" s="75" t="s">
        <v>113</v>
      </c>
      <c r="D350" s="131">
        <f>'Прил 5'!S480</f>
        <v>1521.6</v>
      </c>
      <c r="E350" s="131" t="e">
        <f>'Прил 5'!#REF!</f>
        <v>#REF!</v>
      </c>
      <c r="F350" s="131" t="e">
        <f>'Прил 5'!#REF!</f>
        <v>#REF!</v>
      </c>
    </row>
    <row r="351" spans="1:6" s="80" customFormat="1" ht="15.6" hidden="1" x14ac:dyDescent="0.3">
      <c r="A351" s="74" t="s">
        <v>124</v>
      </c>
      <c r="B351" s="75" t="s">
        <v>436</v>
      </c>
      <c r="C351" s="75" t="s">
        <v>117</v>
      </c>
      <c r="D351" s="131">
        <f>'Прил 5'!S481</f>
        <v>0</v>
      </c>
      <c r="E351" s="131" t="e">
        <f>'Прил 5'!#REF!</f>
        <v>#REF!</v>
      </c>
      <c r="F351" s="131" t="e">
        <f>'Прил 5'!#REF!</f>
        <v>#REF!</v>
      </c>
    </row>
    <row r="352" spans="1:6" s="80" customFormat="1" x14ac:dyDescent="0.25">
      <c r="A352" s="78" t="s">
        <v>682</v>
      </c>
      <c r="B352" s="79" t="s">
        <v>681</v>
      </c>
      <c r="C352" s="79" t="s">
        <v>9</v>
      </c>
      <c r="D352" s="132">
        <f>D353</f>
        <v>8478.7000000000007</v>
      </c>
      <c r="E352" s="132" t="e">
        <f>E353</f>
        <v>#REF!</v>
      </c>
      <c r="F352" s="132" t="e">
        <f>F353</f>
        <v>#REF!</v>
      </c>
    </row>
    <row r="353" spans="1:6" s="80" customFormat="1" ht="47.25" x14ac:dyDescent="0.25">
      <c r="A353" s="74" t="s">
        <v>115</v>
      </c>
      <c r="B353" s="75" t="s">
        <v>681</v>
      </c>
      <c r="C353" s="75" t="s">
        <v>113</v>
      </c>
      <c r="D353" s="131">
        <f>'Прил 5'!S455</f>
        <v>8478.7000000000007</v>
      </c>
      <c r="E353" s="131" t="e">
        <f>'Прил 5'!#REF!</f>
        <v>#REF!</v>
      </c>
      <c r="F353" s="131" t="e">
        <f>'Прил 5'!#REF!</f>
        <v>#REF!</v>
      </c>
    </row>
    <row r="354" spans="1:6" s="77" customFormat="1" x14ac:dyDescent="0.25">
      <c r="A354" s="78" t="s">
        <v>354</v>
      </c>
      <c r="B354" s="79" t="s">
        <v>431</v>
      </c>
      <c r="C354" s="79" t="s">
        <v>9</v>
      </c>
      <c r="D354" s="132">
        <f>D355+D356+D357</f>
        <v>2026</v>
      </c>
      <c r="E354" s="132" t="e">
        <f>E355+E356+E357</f>
        <v>#REF!</v>
      </c>
      <c r="F354" s="132" t="e">
        <f>F355+F356+F357</f>
        <v>#REF!</v>
      </c>
    </row>
    <row r="355" spans="1:6" s="80" customFormat="1" ht="47.25" x14ac:dyDescent="0.25">
      <c r="A355" s="74" t="s">
        <v>115</v>
      </c>
      <c r="B355" s="75" t="s">
        <v>431</v>
      </c>
      <c r="C355" s="75" t="s">
        <v>113</v>
      </c>
      <c r="D355" s="131">
        <f>'Прил 5'!S457+'Прил 5'!S813</f>
        <v>1624.1</v>
      </c>
      <c r="E355" s="131" t="e">
        <f>'Прил 5'!#REF!</f>
        <v>#REF!</v>
      </c>
      <c r="F355" s="131" t="e">
        <f>'Прил 5'!#REF!</f>
        <v>#REF!</v>
      </c>
    </row>
    <row r="356" spans="1:6" s="80" customFormat="1" x14ac:dyDescent="0.25">
      <c r="A356" s="74" t="s">
        <v>124</v>
      </c>
      <c r="B356" s="75" t="s">
        <v>431</v>
      </c>
      <c r="C356" s="75" t="s">
        <v>117</v>
      </c>
      <c r="D356" s="131">
        <f>'Прил 5'!S458</f>
        <v>395.4</v>
      </c>
      <c r="E356" s="131" t="e">
        <f>'Прил 5'!#REF!</f>
        <v>#REF!</v>
      </c>
      <c r="F356" s="131" t="e">
        <f>'Прил 5'!#REF!</f>
        <v>#REF!</v>
      </c>
    </row>
    <row r="357" spans="1:6" s="80" customFormat="1" x14ac:dyDescent="0.25">
      <c r="A357" s="74" t="s">
        <v>116</v>
      </c>
      <c r="B357" s="75" t="s">
        <v>431</v>
      </c>
      <c r="C357" s="75" t="s">
        <v>114</v>
      </c>
      <c r="D357" s="131">
        <f>'Прил 5'!S459</f>
        <v>6.5</v>
      </c>
      <c r="E357" s="131" t="e">
        <f>'Прил 5'!#REF!</f>
        <v>#REF!</v>
      </c>
      <c r="F357" s="131" t="e">
        <f>'Прил 5'!#REF!</f>
        <v>#REF!</v>
      </c>
    </row>
    <row r="358" spans="1:6" s="80" customFormat="1" ht="15.6" hidden="1" x14ac:dyDescent="0.3">
      <c r="A358" s="78" t="s">
        <v>354</v>
      </c>
      <c r="B358" s="79" t="s">
        <v>524</v>
      </c>
      <c r="C358" s="79" t="s">
        <v>9</v>
      </c>
      <c r="D358" s="132">
        <f>D359</f>
        <v>0</v>
      </c>
      <c r="E358" s="132" t="e">
        <f>E359</f>
        <v>#REF!</v>
      </c>
      <c r="F358" s="132" t="e">
        <f>F359</f>
        <v>#REF!</v>
      </c>
    </row>
    <row r="359" spans="1:6" s="77" customFormat="1" ht="15.6" hidden="1" x14ac:dyDescent="0.3">
      <c r="A359" s="74" t="s">
        <v>116</v>
      </c>
      <c r="B359" s="75" t="s">
        <v>524</v>
      </c>
      <c r="C359" s="75" t="s">
        <v>114</v>
      </c>
      <c r="D359" s="131">
        <f>'Прил 5'!S461</f>
        <v>0</v>
      </c>
      <c r="E359" s="131" t="e">
        <f>'Прил 5'!#REF!</f>
        <v>#REF!</v>
      </c>
      <c r="F359" s="131" t="e">
        <f>'Прил 5'!#REF!</f>
        <v>#REF!</v>
      </c>
    </row>
    <row r="360" spans="1:6" s="80" customFormat="1" ht="31.15" hidden="1" x14ac:dyDescent="0.3">
      <c r="A360" s="78" t="s">
        <v>577</v>
      </c>
      <c r="B360" s="79" t="s">
        <v>423</v>
      </c>
      <c r="C360" s="79" t="s">
        <v>9</v>
      </c>
      <c r="D360" s="132">
        <f>D361</f>
        <v>0</v>
      </c>
      <c r="E360" s="132" t="e">
        <f>E361</f>
        <v>#REF!</v>
      </c>
      <c r="F360" s="132" t="e">
        <f>F361</f>
        <v>#REF!</v>
      </c>
    </row>
    <row r="361" spans="1:6" s="80" customFormat="1" ht="15.6" hidden="1" x14ac:dyDescent="0.3">
      <c r="A361" s="74" t="s">
        <v>124</v>
      </c>
      <c r="B361" s="75" t="s">
        <v>423</v>
      </c>
      <c r="C361" s="75" t="s">
        <v>117</v>
      </c>
      <c r="D361" s="131">
        <f>'Прил 5'!S407</f>
        <v>0</v>
      </c>
      <c r="E361" s="131" t="e">
        <f>'Прил 5'!#REF!</f>
        <v>#REF!</v>
      </c>
      <c r="F361" s="131" t="e">
        <f>'Прил 5'!#REF!</f>
        <v>#REF!</v>
      </c>
    </row>
    <row r="362" spans="1:6" s="77" customFormat="1" ht="31.5" x14ac:dyDescent="0.25">
      <c r="A362" s="78" t="s">
        <v>578</v>
      </c>
      <c r="B362" s="79" t="s">
        <v>453</v>
      </c>
      <c r="C362" s="79" t="s">
        <v>9</v>
      </c>
      <c r="D362" s="132">
        <f>D363+D364</f>
        <v>2128.8000000000002</v>
      </c>
      <c r="E362" s="132" t="e">
        <f>E363+E364</f>
        <v>#REF!</v>
      </c>
      <c r="F362" s="132" t="e">
        <f>F363+F364</f>
        <v>#REF!</v>
      </c>
    </row>
    <row r="363" spans="1:6" s="80" customFormat="1" x14ac:dyDescent="0.25">
      <c r="A363" s="74" t="s">
        <v>124</v>
      </c>
      <c r="B363" s="75" t="s">
        <v>453</v>
      </c>
      <c r="C363" s="75" t="s">
        <v>117</v>
      </c>
      <c r="D363" s="131">
        <f>'Прил 5'!S779</f>
        <v>21</v>
      </c>
      <c r="E363" s="131" t="e">
        <f>'Прил 5'!#REF!</f>
        <v>#REF!</v>
      </c>
      <c r="F363" s="131" t="e">
        <f>'Прил 5'!#REF!</f>
        <v>#REF!</v>
      </c>
    </row>
    <row r="364" spans="1:6" s="80" customFormat="1" x14ac:dyDescent="0.25">
      <c r="A364" s="74" t="s">
        <v>125</v>
      </c>
      <c r="B364" s="75" t="s">
        <v>453</v>
      </c>
      <c r="C364" s="75" t="s">
        <v>118</v>
      </c>
      <c r="D364" s="131">
        <f>'Прил 5'!S780+'Прил 5'!S784</f>
        <v>2107.8000000000002</v>
      </c>
      <c r="E364" s="131" t="e">
        <f>'Прил 5'!#REF!</f>
        <v>#REF!</v>
      </c>
      <c r="F364" s="131" t="e">
        <f>'Прил 5'!#REF!</f>
        <v>#REF!</v>
      </c>
    </row>
    <row r="365" spans="1:6" s="82" customFormat="1" ht="31.5" x14ac:dyDescent="0.25">
      <c r="A365" s="78" t="s">
        <v>68</v>
      </c>
      <c r="B365" s="79" t="s">
        <v>404</v>
      </c>
      <c r="C365" s="79" t="s">
        <v>9</v>
      </c>
      <c r="D365" s="132">
        <f>D366+D368+D367</f>
        <v>2714.4800000000005</v>
      </c>
      <c r="E365" s="132" t="e">
        <f>E366</f>
        <v>#REF!</v>
      </c>
      <c r="F365" s="132" t="e">
        <f>F366</f>
        <v>#REF!</v>
      </c>
    </row>
    <row r="366" spans="1:6" s="77" customFormat="1" x14ac:dyDescent="0.25">
      <c r="A366" s="74" t="s">
        <v>124</v>
      </c>
      <c r="B366" s="75" t="s">
        <v>404</v>
      </c>
      <c r="C366" s="75" t="s">
        <v>117</v>
      </c>
      <c r="D366" s="131">
        <f>'Прил 5'!S653</f>
        <v>2122.3000000000002</v>
      </c>
      <c r="E366" s="131" t="e">
        <f>'Прил 5'!#REF!</f>
        <v>#REF!</v>
      </c>
      <c r="F366" s="131" t="e">
        <f>'Прил 5'!#REF!</f>
        <v>#REF!</v>
      </c>
    </row>
    <row r="367" spans="1:6" s="77" customFormat="1" ht="31.15" hidden="1" x14ac:dyDescent="0.3">
      <c r="A367" s="74" t="s">
        <v>469</v>
      </c>
      <c r="B367" s="75" t="s">
        <v>404</v>
      </c>
      <c r="C367" s="75" t="s">
        <v>213</v>
      </c>
      <c r="D367" s="131">
        <f>'Прил 5'!S654</f>
        <v>0</v>
      </c>
      <c r="E367" s="131"/>
      <c r="F367" s="131"/>
    </row>
    <row r="368" spans="1:6" s="77" customFormat="1" x14ac:dyDescent="0.25">
      <c r="A368" s="74" t="s">
        <v>123</v>
      </c>
      <c r="B368" s="75" t="s">
        <v>404</v>
      </c>
      <c r="C368" s="75" t="s">
        <v>119</v>
      </c>
      <c r="D368" s="131">
        <f>'Прил 5'!S655+'Прил 5'!S666</f>
        <v>592.18000000000006</v>
      </c>
      <c r="E368" s="131"/>
      <c r="F368" s="131"/>
    </row>
    <row r="369" spans="1:6" s="80" customFormat="1" ht="31.15" hidden="1" x14ac:dyDescent="0.3">
      <c r="A369" s="78" t="s">
        <v>132</v>
      </c>
      <c r="B369" s="79" t="s">
        <v>432</v>
      </c>
      <c r="C369" s="79" t="s">
        <v>9</v>
      </c>
      <c r="D369" s="132">
        <f>D370</f>
        <v>0</v>
      </c>
      <c r="E369" s="132" t="e">
        <f>E370</f>
        <v>#REF!</v>
      </c>
      <c r="F369" s="132" t="e">
        <f>F370</f>
        <v>#REF!</v>
      </c>
    </row>
    <row r="370" spans="1:6" s="80" customFormat="1" ht="15.6" hidden="1" x14ac:dyDescent="0.3">
      <c r="A370" s="74" t="s">
        <v>124</v>
      </c>
      <c r="B370" s="75" t="s">
        <v>432</v>
      </c>
      <c r="C370" s="75" t="s">
        <v>117</v>
      </c>
      <c r="D370" s="131">
        <f>'Прил 5'!S463</f>
        <v>0</v>
      </c>
      <c r="E370" s="131" t="e">
        <f>'Прил 5'!#REF!</f>
        <v>#REF!</v>
      </c>
      <c r="F370" s="131" t="e">
        <f>'Прил 5'!#REF!</f>
        <v>#REF!</v>
      </c>
    </row>
    <row r="371" spans="1:6" s="80" customFormat="1" ht="15.6" hidden="1" x14ac:dyDescent="0.3">
      <c r="A371" s="78" t="s">
        <v>579</v>
      </c>
      <c r="B371" s="79" t="s">
        <v>424</v>
      </c>
      <c r="C371" s="79" t="s">
        <v>9</v>
      </c>
      <c r="D371" s="132">
        <f>D372</f>
        <v>0</v>
      </c>
      <c r="E371" s="132" t="e">
        <f>E372</f>
        <v>#REF!</v>
      </c>
      <c r="F371" s="132" t="e">
        <f>F372</f>
        <v>#REF!</v>
      </c>
    </row>
    <row r="372" spans="1:6" s="77" customFormat="1" ht="15.6" hidden="1" x14ac:dyDescent="0.3">
      <c r="A372" s="74" t="s">
        <v>124</v>
      </c>
      <c r="B372" s="75" t="s">
        <v>424</v>
      </c>
      <c r="C372" s="75" t="s">
        <v>117</v>
      </c>
      <c r="D372" s="131">
        <f>'Прил 5'!S409</f>
        <v>0</v>
      </c>
      <c r="E372" s="131" t="e">
        <f>'Прил 5'!#REF!</f>
        <v>#REF!</v>
      </c>
      <c r="F372" s="131" t="e">
        <f>'Прил 5'!#REF!</f>
        <v>#REF!</v>
      </c>
    </row>
    <row r="373" spans="1:6" s="77" customFormat="1" x14ac:dyDescent="0.25">
      <c r="A373" s="78" t="s">
        <v>862</v>
      </c>
      <c r="B373" s="79" t="s">
        <v>861</v>
      </c>
      <c r="C373" s="79" t="s">
        <v>9</v>
      </c>
      <c r="D373" s="132">
        <f>D374+D375</f>
        <v>300</v>
      </c>
      <c r="E373" s="131"/>
      <c r="F373" s="131"/>
    </row>
    <row r="374" spans="1:6" s="77" customFormat="1" ht="15.6" hidden="1" x14ac:dyDescent="0.3">
      <c r="A374" s="74" t="s">
        <v>124</v>
      </c>
      <c r="B374" s="75" t="s">
        <v>861</v>
      </c>
      <c r="C374" s="75" t="s">
        <v>117</v>
      </c>
      <c r="D374" s="131">
        <f>'Прил 5'!S417</f>
        <v>0</v>
      </c>
      <c r="E374" s="131"/>
      <c r="F374" s="131"/>
    </row>
    <row r="375" spans="1:6" s="77" customFormat="1" x14ac:dyDescent="0.25">
      <c r="A375" s="81" t="s">
        <v>116</v>
      </c>
      <c r="B375" s="75" t="s">
        <v>861</v>
      </c>
      <c r="C375" s="75" t="s">
        <v>114</v>
      </c>
      <c r="D375" s="131">
        <f>'Прил 5'!S418</f>
        <v>300</v>
      </c>
      <c r="E375" s="131"/>
      <c r="F375" s="131"/>
    </row>
    <row r="376" spans="1:6" s="80" customFormat="1" ht="63" x14ac:dyDescent="0.25">
      <c r="A376" s="78" t="s">
        <v>1109</v>
      </c>
      <c r="B376" s="79" t="s">
        <v>677</v>
      </c>
      <c r="C376" s="79" t="s">
        <v>9</v>
      </c>
      <c r="D376" s="132">
        <f>D377</f>
        <v>9171.7000000000007</v>
      </c>
      <c r="E376" s="132" t="e">
        <f>E377</f>
        <v>#REF!</v>
      </c>
      <c r="F376" s="132" t="e">
        <f>F377</f>
        <v>#REF!</v>
      </c>
    </row>
    <row r="377" spans="1:6" s="80" customFormat="1" ht="31.5" x14ac:dyDescent="0.25">
      <c r="A377" s="84" t="s">
        <v>469</v>
      </c>
      <c r="B377" s="75" t="s">
        <v>677</v>
      </c>
      <c r="C377" s="75" t="s">
        <v>213</v>
      </c>
      <c r="D377" s="131">
        <f>'Прил 5'!S817</f>
        <v>9171.7000000000007</v>
      </c>
      <c r="E377" s="131" t="e">
        <f>'Прил 5'!#REF!</f>
        <v>#REF!</v>
      </c>
      <c r="F377" s="131" t="e">
        <f>'Прил 5'!#REF!</f>
        <v>#REF!</v>
      </c>
    </row>
    <row r="378" spans="1:6" s="80" customFormat="1" ht="62.45" hidden="1" x14ac:dyDescent="0.3">
      <c r="A378" s="78" t="s">
        <v>1109</v>
      </c>
      <c r="B378" s="79" t="s">
        <v>991</v>
      </c>
      <c r="C378" s="79" t="s">
        <v>9</v>
      </c>
      <c r="D378" s="132">
        <f>D379</f>
        <v>0</v>
      </c>
      <c r="E378" s="132"/>
      <c r="F378" s="132"/>
    </row>
    <row r="379" spans="1:6" s="80" customFormat="1" ht="31.15" hidden="1" x14ac:dyDescent="0.3">
      <c r="A379" s="84" t="s">
        <v>469</v>
      </c>
      <c r="B379" s="75" t="s">
        <v>991</v>
      </c>
      <c r="C379" s="75" t="s">
        <v>213</v>
      </c>
      <c r="D379" s="131">
        <f>'Прил 5'!S819</f>
        <v>0</v>
      </c>
      <c r="E379" s="131"/>
      <c r="F379" s="131"/>
    </row>
    <row r="380" spans="1:6" s="80" customFormat="1" x14ac:dyDescent="0.25">
      <c r="A380" s="267" t="s">
        <v>1096</v>
      </c>
      <c r="B380" s="285" t="s">
        <v>1214</v>
      </c>
      <c r="C380" s="544" t="s">
        <v>9</v>
      </c>
      <c r="D380" s="132">
        <f>D381</f>
        <v>7045.4549999999999</v>
      </c>
      <c r="E380" s="131"/>
      <c r="F380" s="131"/>
    </row>
    <row r="381" spans="1:6" s="80" customFormat="1" x14ac:dyDescent="0.25">
      <c r="A381" s="267" t="s">
        <v>1097</v>
      </c>
      <c r="B381" s="285" t="s">
        <v>1215</v>
      </c>
      <c r="C381" s="544" t="s">
        <v>9</v>
      </c>
      <c r="D381" s="132">
        <f>D382+D384</f>
        <v>7045.4549999999999</v>
      </c>
      <c r="E381" s="131"/>
      <c r="F381" s="131"/>
    </row>
    <row r="382" spans="1:6" s="80" customFormat="1" x14ac:dyDescent="0.25">
      <c r="A382" s="267" t="s">
        <v>1098</v>
      </c>
      <c r="B382" s="285" t="s">
        <v>1216</v>
      </c>
      <c r="C382" s="544" t="s">
        <v>9</v>
      </c>
      <c r="D382" s="132">
        <f>D383</f>
        <v>6975</v>
      </c>
      <c r="E382" s="131"/>
      <c r="F382" s="131"/>
    </row>
    <row r="383" spans="1:6" s="80" customFormat="1" ht="31.5" x14ac:dyDescent="0.25">
      <c r="A383" s="264" t="s">
        <v>469</v>
      </c>
      <c r="B383" s="265" t="s">
        <v>1216</v>
      </c>
      <c r="C383" s="380" t="s">
        <v>213</v>
      </c>
      <c r="D383" s="131">
        <f>'Прил 5'!S680</f>
        <v>6975</v>
      </c>
      <c r="E383" s="131"/>
      <c r="F383" s="131"/>
    </row>
    <row r="384" spans="1:6" s="80" customFormat="1" x14ac:dyDescent="0.25">
      <c r="A384" s="267" t="s">
        <v>1098</v>
      </c>
      <c r="B384" s="285" t="s">
        <v>1217</v>
      </c>
      <c r="C384" s="544" t="s">
        <v>9</v>
      </c>
      <c r="D384" s="132">
        <f>D385</f>
        <v>70.454999999999998</v>
      </c>
      <c r="E384" s="131"/>
      <c r="F384" s="131"/>
    </row>
    <row r="385" spans="1:6" s="80" customFormat="1" ht="31.5" x14ac:dyDescent="0.25">
      <c r="A385" s="264" t="s">
        <v>469</v>
      </c>
      <c r="B385" s="265" t="s">
        <v>1217</v>
      </c>
      <c r="C385" s="380" t="s">
        <v>213</v>
      </c>
      <c r="D385" s="131">
        <f>'Прил 5'!S682</f>
        <v>70.454999999999998</v>
      </c>
      <c r="E385" s="131"/>
      <c r="F385" s="131"/>
    </row>
    <row r="386" spans="1:6" s="80" customFormat="1" x14ac:dyDescent="0.25">
      <c r="A386" s="78" t="s">
        <v>692</v>
      </c>
      <c r="B386" s="79" t="s">
        <v>381</v>
      </c>
      <c r="C386" s="79" t="s">
        <v>9</v>
      </c>
      <c r="D386" s="132">
        <f>D391+D396+D398+D394+D387+D390</f>
        <v>4302</v>
      </c>
      <c r="E386" s="132" t="e">
        <f>E391+E396+E398</f>
        <v>#REF!</v>
      </c>
      <c r="F386" s="132" t="e">
        <f>F391+F396+F398</f>
        <v>#REF!</v>
      </c>
    </row>
    <row r="387" spans="1:6" s="80" customFormat="1" ht="62.45" hidden="1" x14ac:dyDescent="0.3">
      <c r="A387" s="78" t="s">
        <v>1048</v>
      </c>
      <c r="B387" s="79" t="s">
        <v>1049</v>
      </c>
      <c r="C387" s="79" t="s">
        <v>9</v>
      </c>
      <c r="D387" s="132">
        <f>D388</f>
        <v>0</v>
      </c>
      <c r="E387" s="132"/>
      <c r="F387" s="132"/>
    </row>
    <row r="388" spans="1:6" s="80" customFormat="1" ht="15.6" hidden="1" x14ac:dyDescent="0.3">
      <c r="A388" s="74" t="s">
        <v>124</v>
      </c>
      <c r="B388" s="79" t="s">
        <v>1049</v>
      </c>
      <c r="C388" s="79" t="s">
        <v>117</v>
      </c>
      <c r="D388" s="132">
        <f>'Прил 5'!S531</f>
        <v>0</v>
      </c>
      <c r="E388" s="132"/>
      <c r="F388" s="132"/>
    </row>
    <row r="389" spans="1:6" s="80" customFormat="1" ht="62.45" hidden="1" x14ac:dyDescent="0.3">
      <c r="A389" s="78" t="s">
        <v>1048</v>
      </c>
      <c r="B389" s="79" t="s">
        <v>1050</v>
      </c>
      <c r="C389" s="79" t="s">
        <v>9</v>
      </c>
      <c r="D389" s="132">
        <f>D390</f>
        <v>0</v>
      </c>
      <c r="E389" s="132"/>
      <c r="F389" s="132"/>
    </row>
    <row r="390" spans="1:6" s="80" customFormat="1" ht="15.6" hidden="1" x14ac:dyDescent="0.3">
      <c r="A390" s="74" t="s">
        <v>124</v>
      </c>
      <c r="B390" s="79" t="s">
        <v>1050</v>
      </c>
      <c r="C390" s="79" t="s">
        <v>117</v>
      </c>
      <c r="D390" s="132">
        <f>'Прил 5'!S533</f>
        <v>0</v>
      </c>
      <c r="E390" s="132"/>
      <c r="F390" s="132"/>
    </row>
    <row r="391" spans="1:6" s="80" customFormat="1" ht="31.5" x14ac:dyDescent="0.25">
      <c r="A391" s="78" t="s">
        <v>519</v>
      </c>
      <c r="B391" s="79" t="s">
        <v>517</v>
      </c>
      <c r="C391" s="79" t="s">
        <v>9</v>
      </c>
      <c r="D391" s="132">
        <f>D393+D392</f>
        <v>3695</v>
      </c>
      <c r="E391" s="132" t="e">
        <f>E393</f>
        <v>#REF!</v>
      </c>
      <c r="F391" s="132" t="e">
        <f>F393</f>
        <v>#REF!</v>
      </c>
    </row>
    <row r="392" spans="1:6" s="80" customFormat="1" x14ac:dyDescent="0.25">
      <c r="A392" s="74" t="s">
        <v>124</v>
      </c>
      <c r="B392" s="75" t="s">
        <v>517</v>
      </c>
      <c r="C392" s="75" t="s">
        <v>117</v>
      </c>
      <c r="D392" s="131">
        <f>'Прил 5'!S535</f>
        <v>3600</v>
      </c>
      <c r="E392" s="132"/>
      <c r="F392" s="132"/>
    </row>
    <row r="393" spans="1:6" s="80" customFormat="1" x14ac:dyDescent="0.25">
      <c r="A393" s="81" t="s">
        <v>116</v>
      </c>
      <c r="B393" s="75" t="s">
        <v>517</v>
      </c>
      <c r="C393" s="75" t="s">
        <v>114</v>
      </c>
      <c r="D393" s="131">
        <f>'Прил 5'!S536</f>
        <v>95</v>
      </c>
      <c r="E393" s="131" t="e">
        <f>'Прил 5'!#REF!</f>
        <v>#REF!</v>
      </c>
      <c r="F393" s="131" t="e">
        <f>'Прил 5'!#REF!</f>
        <v>#REF!</v>
      </c>
    </row>
    <row r="394" spans="1:6" s="80" customFormat="1" ht="15.6" hidden="1" x14ac:dyDescent="0.3">
      <c r="A394" s="78" t="s">
        <v>847</v>
      </c>
      <c r="B394" s="79" t="s">
        <v>846</v>
      </c>
      <c r="C394" s="79" t="s">
        <v>9</v>
      </c>
      <c r="D394" s="132">
        <f>D395</f>
        <v>0</v>
      </c>
      <c r="E394" s="131"/>
      <c r="F394" s="131"/>
    </row>
    <row r="395" spans="1:6" s="80" customFormat="1" ht="15.6" hidden="1" x14ac:dyDescent="0.3">
      <c r="A395" s="78" t="s">
        <v>124</v>
      </c>
      <c r="B395" s="75" t="s">
        <v>846</v>
      </c>
      <c r="C395" s="75" t="s">
        <v>117</v>
      </c>
      <c r="D395" s="131">
        <f>'Прил 5'!S466</f>
        <v>0</v>
      </c>
      <c r="E395" s="131"/>
      <c r="F395" s="131"/>
    </row>
    <row r="396" spans="1:6" s="77" customFormat="1" x14ac:dyDescent="0.25">
      <c r="A396" s="78" t="s">
        <v>87</v>
      </c>
      <c r="B396" s="79" t="s">
        <v>441</v>
      </c>
      <c r="C396" s="79" t="s">
        <v>9</v>
      </c>
      <c r="D396" s="132">
        <f>D397</f>
        <v>15</v>
      </c>
      <c r="E396" s="132" t="e">
        <f>E397</f>
        <v>#REF!</v>
      </c>
      <c r="F396" s="132" t="e">
        <f>F397</f>
        <v>#REF!</v>
      </c>
    </row>
    <row r="397" spans="1:6" s="80" customFormat="1" x14ac:dyDescent="0.25">
      <c r="A397" s="74" t="s">
        <v>124</v>
      </c>
      <c r="B397" s="75" t="s">
        <v>441</v>
      </c>
      <c r="C397" s="75" t="s">
        <v>117</v>
      </c>
      <c r="D397" s="131">
        <f>'Прил 5'!S610</f>
        <v>15</v>
      </c>
      <c r="E397" s="131" t="e">
        <f>'Прил 5'!#REF!</f>
        <v>#REF!</v>
      </c>
      <c r="F397" s="131" t="e">
        <f>'Прил 5'!#REF!</f>
        <v>#REF!</v>
      </c>
    </row>
    <row r="398" spans="1:6" s="77" customFormat="1" x14ac:dyDescent="0.25">
      <c r="A398" s="78" t="s">
        <v>133</v>
      </c>
      <c r="B398" s="79" t="s">
        <v>382</v>
      </c>
      <c r="C398" s="79" t="s">
        <v>9</v>
      </c>
      <c r="D398" s="132">
        <f>D399+D400</f>
        <v>592</v>
      </c>
      <c r="E398" s="132" t="e">
        <f>E399</f>
        <v>#REF!</v>
      </c>
      <c r="F398" s="132" t="e">
        <f>F399</f>
        <v>#REF!</v>
      </c>
    </row>
    <row r="399" spans="1:6" s="77" customFormat="1" ht="47.25" x14ac:dyDescent="0.25">
      <c r="A399" s="74" t="s">
        <v>115</v>
      </c>
      <c r="B399" s="75" t="s">
        <v>382</v>
      </c>
      <c r="C399" s="75" t="s">
        <v>113</v>
      </c>
      <c r="D399" s="131">
        <f>'Прил 5'!S118+'Прил 5'!S739+'Прил 5'!S25+'Прил 5'!S510</f>
        <v>592</v>
      </c>
      <c r="E399" s="131" t="e">
        <f>'Прил 5'!#REF!</f>
        <v>#REF!</v>
      </c>
      <c r="F399" s="131" t="e">
        <f>'Прил 5'!#REF!</f>
        <v>#REF!</v>
      </c>
    </row>
    <row r="400" spans="1:6" s="77" customFormat="1" ht="31.15" hidden="1" x14ac:dyDescent="0.3">
      <c r="A400" s="74" t="s">
        <v>843</v>
      </c>
      <c r="B400" s="75" t="s">
        <v>382</v>
      </c>
      <c r="C400" s="75" t="s">
        <v>490</v>
      </c>
      <c r="D400" s="131">
        <f>'Прил 5'!S511</f>
        <v>0</v>
      </c>
      <c r="E400" s="131"/>
      <c r="F400" s="131"/>
    </row>
    <row r="401" spans="1:6" s="80" customFormat="1" x14ac:dyDescent="0.25">
      <c r="A401" s="78" t="s">
        <v>15</v>
      </c>
      <c r="B401" s="79" t="s">
        <v>433</v>
      </c>
      <c r="C401" s="79" t="s">
        <v>9</v>
      </c>
      <c r="D401" s="132">
        <f>D464+D407+D422+D434+D447+D449+D451+D453+D455+D459+D466+D468+D479+D481+D483+D445+D488+D486+D457+D490+D443+D429+D420+D416+D410+D437+D402</f>
        <v>103196.19349999999</v>
      </c>
      <c r="E401" s="132" t="e">
        <f>E407+E422+E434+E447+E449+E451+E453+E455+E459+E466+E468+E479+E481+E483+E445</f>
        <v>#REF!</v>
      </c>
      <c r="F401" s="132" t="e">
        <f>F407+F422+F434+F447+F449+F451+F453+F455+F459+F466+F468+F479+F481+F483+F445</f>
        <v>#REF!</v>
      </c>
    </row>
    <row r="402" spans="1:6" s="80" customFormat="1" x14ac:dyDescent="0.25">
      <c r="A402" s="78" t="s">
        <v>567</v>
      </c>
      <c r="B402" s="79" t="s">
        <v>1150</v>
      </c>
      <c r="C402" s="79" t="s">
        <v>9</v>
      </c>
      <c r="D402" s="132">
        <f>D403</f>
        <v>22938.3</v>
      </c>
      <c r="E402" s="132"/>
      <c r="F402" s="132"/>
    </row>
    <row r="403" spans="1:6" s="80" customFormat="1" x14ac:dyDescent="0.25">
      <c r="A403" s="78" t="s">
        <v>38</v>
      </c>
      <c r="B403" s="79" t="s">
        <v>1151</v>
      </c>
      <c r="C403" s="79" t="s">
        <v>9</v>
      </c>
      <c r="D403" s="132">
        <f>D404+D405+D406</f>
        <v>22938.3</v>
      </c>
      <c r="E403" s="132"/>
      <c r="F403" s="132"/>
    </row>
    <row r="404" spans="1:6" s="80" customFormat="1" ht="47.25" x14ac:dyDescent="0.25">
      <c r="A404" s="264" t="s">
        <v>115</v>
      </c>
      <c r="B404" s="75" t="s">
        <v>1151</v>
      </c>
      <c r="C404" s="265" t="s">
        <v>113</v>
      </c>
      <c r="D404" s="132">
        <f>'Прил 5'!S717</f>
        <v>20670.599999999999</v>
      </c>
      <c r="E404" s="132"/>
      <c r="F404" s="132"/>
    </row>
    <row r="405" spans="1:6" s="80" customFormat="1" x14ac:dyDescent="0.25">
      <c r="A405" s="264" t="s">
        <v>124</v>
      </c>
      <c r="B405" s="75" t="s">
        <v>1151</v>
      </c>
      <c r="C405" s="265" t="s">
        <v>117</v>
      </c>
      <c r="D405" s="132">
        <f>'Прил 5'!S718</f>
        <v>2246</v>
      </c>
      <c r="E405" s="132"/>
      <c r="F405" s="132"/>
    </row>
    <row r="406" spans="1:6" s="80" customFormat="1" x14ac:dyDescent="0.25">
      <c r="A406" s="74" t="s">
        <v>116</v>
      </c>
      <c r="B406" s="75" t="s">
        <v>1151</v>
      </c>
      <c r="C406" s="75" t="s">
        <v>114</v>
      </c>
      <c r="D406" s="132">
        <f>'Прил 5'!S719</f>
        <v>21.7</v>
      </c>
      <c r="E406" s="132"/>
      <c r="F406" s="132"/>
    </row>
    <row r="407" spans="1:6" s="80" customFormat="1" ht="31.15" hidden="1" x14ac:dyDescent="0.3">
      <c r="A407" s="78" t="s">
        <v>41</v>
      </c>
      <c r="B407" s="79" t="s">
        <v>504</v>
      </c>
      <c r="C407" s="79" t="s">
        <v>9</v>
      </c>
      <c r="D407" s="132">
        <f>D412+D418+D414+D408</f>
        <v>0</v>
      </c>
      <c r="E407" s="132" t="e">
        <f>E412</f>
        <v>#REF!</v>
      </c>
      <c r="F407" s="132" t="e">
        <f>F412</f>
        <v>#REF!</v>
      </c>
    </row>
    <row r="408" spans="1:6" s="80" customFormat="1" ht="15.6" hidden="1" x14ac:dyDescent="0.3">
      <c r="A408" s="78" t="s">
        <v>1101</v>
      </c>
      <c r="B408" s="79" t="s">
        <v>1099</v>
      </c>
      <c r="C408" s="79" t="s">
        <v>9</v>
      </c>
      <c r="D408" s="132">
        <f>D409</f>
        <v>0</v>
      </c>
      <c r="E408" s="132"/>
      <c r="F408" s="132"/>
    </row>
    <row r="409" spans="1:6" s="80" customFormat="1" ht="46.9" hidden="1" x14ac:dyDescent="0.3">
      <c r="A409" s="74" t="s">
        <v>115</v>
      </c>
      <c r="B409" s="75" t="s">
        <v>1099</v>
      </c>
      <c r="C409" s="75" t="s">
        <v>113</v>
      </c>
      <c r="D409" s="132">
        <f>'Прил 5'!S493</f>
        <v>0</v>
      </c>
      <c r="E409" s="132"/>
      <c r="F409" s="132"/>
    </row>
    <row r="410" spans="1:6" s="80" customFormat="1" ht="15.6" hidden="1" x14ac:dyDescent="0.3">
      <c r="A410" s="78" t="s">
        <v>1101</v>
      </c>
      <c r="B410" s="79" t="s">
        <v>1100</v>
      </c>
      <c r="C410" s="79" t="s">
        <v>9</v>
      </c>
      <c r="D410" s="132">
        <f>D411</f>
        <v>0</v>
      </c>
      <c r="E410" s="132"/>
      <c r="F410" s="132"/>
    </row>
    <row r="411" spans="1:6" s="80" customFormat="1" ht="46.9" hidden="1" x14ac:dyDescent="0.3">
      <c r="A411" s="74" t="s">
        <v>115</v>
      </c>
      <c r="B411" s="75" t="s">
        <v>1100</v>
      </c>
      <c r="C411" s="75" t="s">
        <v>113</v>
      </c>
      <c r="D411" s="132">
        <f>'Прил 5'!S495</f>
        <v>0</v>
      </c>
      <c r="E411" s="132"/>
      <c r="F411" s="132"/>
    </row>
    <row r="412" spans="1:6" s="80" customFormat="1" ht="31.15" hidden="1" x14ac:dyDescent="0.3">
      <c r="A412" s="78" t="s">
        <v>464</v>
      </c>
      <c r="B412" s="79" t="s">
        <v>505</v>
      </c>
      <c r="C412" s="79" t="s">
        <v>9</v>
      </c>
      <c r="D412" s="132">
        <f>D413</f>
        <v>0</v>
      </c>
      <c r="E412" s="132" t="e">
        <f>E413</f>
        <v>#REF!</v>
      </c>
      <c r="F412" s="132" t="e">
        <f>F413</f>
        <v>#REF!</v>
      </c>
    </row>
    <row r="413" spans="1:6" s="77" customFormat="1" ht="31.15" hidden="1" x14ac:dyDescent="0.3">
      <c r="A413" s="74" t="s">
        <v>843</v>
      </c>
      <c r="B413" s="75" t="s">
        <v>505</v>
      </c>
      <c r="C413" s="75" t="s">
        <v>490</v>
      </c>
      <c r="D413" s="131">
        <f>'Прил 5'!S743</f>
        <v>0</v>
      </c>
      <c r="E413" s="131" t="e">
        <f>'Прил 5'!#REF!</f>
        <v>#REF!</v>
      </c>
      <c r="F413" s="131" t="e">
        <f>'Прил 5'!#REF!</f>
        <v>#REF!</v>
      </c>
    </row>
    <row r="414" spans="1:6" s="77" customFormat="1" ht="31.15" hidden="1" x14ac:dyDescent="0.3">
      <c r="A414" s="78" t="s">
        <v>1043</v>
      </c>
      <c r="B414" s="79" t="s">
        <v>1044</v>
      </c>
      <c r="C414" s="79" t="s">
        <v>9</v>
      </c>
      <c r="D414" s="132">
        <f>D415</f>
        <v>0</v>
      </c>
      <c r="E414" s="131"/>
      <c r="F414" s="131"/>
    </row>
    <row r="415" spans="1:6" s="77" customFormat="1" ht="15.6" hidden="1" x14ac:dyDescent="0.3">
      <c r="A415" s="74" t="s">
        <v>124</v>
      </c>
      <c r="B415" s="75" t="s">
        <v>1044</v>
      </c>
      <c r="C415" s="75" t="s">
        <v>117</v>
      </c>
      <c r="D415" s="131">
        <f>'Прил 5'!S196</f>
        <v>0</v>
      </c>
      <c r="E415" s="131"/>
      <c r="F415" s="131"/>
    </row>
    <row r="416" spans="1:6" s="77" customFormat="1" ht="31.15" hidden="1" x14ac:dyDescent="0.3">
      <c r="A416" s="78" t="s">
        <v>1043</v>
      </c>
      <c r="B416" s="79" t="s">
        <v>1045</v>
      </c>
      <c r="C416" s="79" t="s">
        <v>9</v>
      </c>
      <c r="D416" s="132">
        <f>D417</f>
        <v>0</v>
      </c>
      <c r="E416" s="131"/>
      <c r="F416" s="131"/>
    </row>
    <row r="417" spans="1:6" s="77" customFormat="1" ht="15.6" hidden="1" x14ac:dyDescent="0.3">
      <c r="A417" s="74" t="s">
        <v>124</v>
      </c>
      <c r="B417" s="75" t="s">
        <v>1045</v>
      </c>
      <c r="C417" s="75" t="s">
        <v>117</v>
      </c>
      <c r="D417" s="131">
        <f>'Прил 5'!S198</f>
        <v>0</v>
      </c>
      <c r="E417" s="131"/>
      <c r="F417" s="131"/>
    </row>
    <row r="418" spans="1:6" s="80" customFormat="1" ht="15.6" hidden="1" x14ac:dyDescent="0.3">
      <c r="A418" s="78" t="s">
        <v>1058</v>
      </c>
      <c r="B418" s="79" t="s">
        <v>1059</v>
      </c>
      <c r="C418" s="79" t="s">
        <v>9</v>
      </c>
      <c r="D418" s="132">
        <f>D419</f>
        <v>0</v>
      </c>
      <c r="E418" s="132"/>
      <c r="F418" s="132"/>
    </row>
    <row r="419" spans="1:6" s="80" customFormat="1" ht="31.15" hidden="1" x14ac:dyDescent="0.3">
      <c r="A419" s="74" t="s">
        <v>843</v>
      </c>
      <c r="B419" s="75" t="s">
        <v>1059</v>
      </c>
      <c r="C419" s="75" t="s">
        <v>490</v>
      </c>
      <c r="D419" s="131">
        <f>'Прил 5'!S745</f>
        <v>0</v>
      </c>
      <c r="E419" s="132"/>
      <c r="F419" s="132"/>
    </row>
    <row r="420" spans="1:6" s="80" customFormat="1" ht="15.6" hidden="1" x14ac:dyDescent="0.3">
      <c r="A420" s="78" t="s">
        <v>1058</v>
      </c>
      <c r="B420" s="79" t="s">
        <v>1060</v>
      </c>
      <c r="C420" s="79" t="s">
        <v>9</v>
      </c>
      <c r="D420" s="132">
        <f>D421</f>
        <v>0</v>
      </c>
      <c r="E420" s="132"/>
      <c r="F420" s="132"/>
    </row>
    <row r="421" spans="1:6" s="80" customFormat="1" ht="31.15" hidden="1" x14ac:dyDescent="0.3">
      <c r="A421" s="74" t="s">
        <v>843</v>
      </c>
      <c r="B421" s="75" t="s">
        <v>1060</v>
      </c>
      <c r="C421" s="75" t="s">
        <v>490</v>
      </c>
      <c r="D421" s="131">
        <f>'Прил 5'!S747</f>
        <v>0</v>
      </c>
      <c r="E421" s="132"/>
      <c r="F421" s="132"/>
    </row>
    <row r="422" spans="1:6" s="77" customFormat="1" ht="47.25" x14ac:dyDescent="0.25">
      <c r="A422" s="78" t="s">
        <v>1110</v>
      </c>
      <c r="B422" s="79" t="s">
        <v>454</v>
      </c>
      <c r="C422" s="79" t="s">
        <v>9</v>
      </c>
      <c r="D422" s="132">
        <f>D423+D426</f>
        <v>1477.3</v>
      </c>
      <c r="E422" s="132" t="e">
        <f t="shared" ref="E422:F423" si="4">E423</f>
        <v>#REF!</v>
      </c>
      <c r="F422" s="132" t="e">
        <f t="shared" si="4"/>
        <v>#REF!</v>
      </c>
    </row>
    <row r="423" spans="1:6" s="77" customFormat="1" ht="63" x14ac:dyDescent="0.25">
      <c r="A423" s="78" t="s">
        <v>21</v>
      </c>
      <c r="B423" s="79" t="s">
        <v>455</v>
      </c>
      <c r="C423" s="79" t="s">
        <v>9</v>
      </c>
      <c r="D423" s="132">
        <f>D424+D425</f>
        <v>639</v>
      </c>
      <c r="E423" s="132" t="e">
        <f t="shared" si="4"/>
        <v>#REF!</v>
      </c>
      <c r="F423" s="132" t="e">
        <f t="shared" si="4"/>
        <v>#REF!</v>
      </c>
    </row>
    <row r="424" spans="1:6" s="80" customFormat="1" ht="47.25" x14ac:dyDescent="0.25">
      <c r="A424" s="74" t="s">
        <v>115</v>
      </c>
      <c r="B424" s="75" t="s">
        <v>455</v>
      </c>
      <c r="C424" s="75" t="s">
        <v>113</v>
      </c>
      <c r="D424" s="131">
        <f>'Прил 5'!S788</f>
        <v>150.16</v>
      </c>
      <c r="E424" s="131" t="e">
        <f>'Прил 5'!#REF!</f>
        <v>#REF!</v>
      </c>
      <c r="F424" s="131" t="e">
        <f>'Прил 5'!#REF!</f>
        <v>#REF!</v>
      </c>
    </row>
    <row r="425" spans="1:6" s="80" customFormat="1" ht="31.5" x14ac:dyDescent="0.25">
      <c r="A425" s="74" t="s">
        <v>843</v>
      </c>
      <c r="B425" s="75" t="s">
        <v>455</v>
      </c>
      <c r="C425" s="75" t="s">
        <v>490</v>
      </c>
      <c r="D425" s="131">
        <f>'Прил 5'!S789</f>
        <v>488.84</v>
      </c>
      <c r="E425" s="131"/>
      <c r="F425" s="131"/>
    </row>
    <row r="426" spans="1:6" s="80" customFormat="1" ht="63" x14ac:dyDescent="0.25">
      <c r="A426" s="78" t="s">
        <v>1114</v>
      </c>
      <c r="B426" s="79" t="s">
        <v>1147</v>
      </c>
      <c r="C426" s="79" t="s">
        <v>9</v>
      </c>
      <c r="D426" s="131">
        <f>D427+D428</f>
        <v>838.3</v>
      </c>
      <c r="E426" s="131"/>
      <c r="F426" s="131"/>
    </row>
    <row r="427" spans="1:6" s="80" customFormat="1" ht="47.25" x14ac:dyDescent="0.25">
      <c r="A427" s="74" t="s">
        <v>115</v>
      </c>
      <c r="B427" s="75" t="s">
        <v>1147</v>
      </c>
      <c r="C427" s="75" t="s">
        <v>113</v>
      </c>
      <c r="D427" s="131">
        <f>'Прил 5'!S791</f>
        <v>830</v>
      </c>
      <c r="E427" s="131"/>
      <c r="F427" s="131"/>
    </row>
    <row r="428" spans="1:6" s="80" customFormat="1" x14ac:dyDescent="0.25">
      <c r="A428" s="74" t="s">
        <v>124</v>
      </c>
      <c r="B428" s="75" t="s">
        <v>1147</v>
      </c>
      <c r="C428" s="75" t="s">
        <v>117</v>
      </c>
      <c r="D428" s="131">
        <f>'Прил 5'!S792</f>
        <v>8.3000000000000007</v>
      </c>
      <c r="E428" s="131"/>
      <c r="F428" s="131"/>
    </row>
    <row r="429" spans="1:6" s="80" customFormat="1" x14ac:dyDescent="0.25">
      <c r="A429" s="267" t="s">
        <v>33</v>
      </c>
      <c r="B429" s="79" t="s">
        <v>1066</v>
      </c>
      <c r="C429" s="79" t="s">
        <v>9</v>
      </c>
      <c r="D429" s="132">
        <f>D430</f>
        <v>1500</v>
      </c>
      <c r="E429" s="131"/>
      <c r="F429" s="131"/>
    </row>
    <row r="430" spans="1:6" s="80" customFormat="1" x14ac:dyDescent="0.25">
      <c r="A430" s="267" t="s">
        <v>1016</v>
      </c>
      <c r="B430" s="79" t="s">
        <v>1067</v>
      </c>
      <c r="C430" s="79" t="s">
        <v>9</v>
      </c>
      <c r="D430" s="132">
        <f>D433+D432+D431</f>
        <v>1500</v>
      </c>
      <c r="E430" s="131"/>
      <c r="F430" s="131"/>
    </row>
    <row r="431" spans="1:6" s="77" customFormat="1" ht="47.25" x14ac:dyDescent="0.25">
      <c r="A431" s="264" t="s">
        <v>115</v>
      </c>
      <c r="B431" s="75" t="s">
        <v>1067</v>
      </c>
      <c r="C431" s="75" t="s">
        <v>113</v>
      </c>
      <c r="D431" s="131">
        <f>'Прил 5'!S201</f>
        <v>60</v>
      </c>
      <c r="E431" s="131"/>
      <c r="F431" s="131"/>
    </row>
    <row r="432" spans="1:6" s="80" customFormat="1" x14ac:dyDescent="0.25">
      <c r="A432" s="264" t="s">
        <v>124</v>
      </c>
      <c r="B432" s="75" t="s">
        <v>1067</v>
      </c>
      <c r="C432" s="75" t="s">
        <v>117</v>
      </c>
      <c r="D432" s="131">
        <f>'Прил 5'!S849+'Прил 5'!S866+'Прил 5'!S202</f>
        <v>690</v>
      </c>
      <c r="E432" s="131"/>
      <c r="F432" s="131"/>
    </row>
    <row r="433" spans="1:6" s="80" customFormat="1" ht="31.5" x14ac:dyDescent="0.25">
      <c r="A433" s="264" t="s">
        <v>843</v>
      </c>
      <c r="B433" s="75" t="s">
        <v>1067</v>
      </c>
      <c r="C433" s="75" t="s">
        <v>490</v>
      </c>
      <c r="D433" s="131">
        <f>'Прил 5'!S867</f>
        <v>750</v>
      </c>
      <c r="E433" s="131"/>
      <c r="F433" s="131"/>
    </row>
    <row r="434" spans="1:6" s="77" customFormat="1" x14ac:dyDescent="0.25">
      <c r="A434" s="78" t="s">
        <v>127</v>
      </c>
      <c r="B434" s="79" t="s">
        <v>447</v>
      </c>
      <c r="C434" s="79" t="s">
        <v>9</v>
      </c>
      <c r="D434" s="132">
        <f t="shared" ref="D434:F435" si="5">D435</f>
        <v>3433.6</v>
      </c>
      <c r="E434" s="132" t="e">
        <f t="shared" si="5"/>
        <v>#REF!</v>
      </c>
      <c r="F434" s="132" t="e">
        <f t="shared" si="5"/>
        <v>#REF!</v>
      </c>
    </row>
    <row r="435" spans="1:6" s="80" customFormat="1" ht="31.5" x14ac:dyDescent="0.25">
      <c r="A435" s="78" t="s">
        <v>364</v>
      </c>
      <c r="B435" s="79" t="s">
        <v>448</v>
      </c>
      <c r="C435" s="79" t="s">
        <v>9</v>
      </c>
      <c r="D435" s="132">
        <f t="shared" si="5"/>
        <v>3433.6</v>
      </c>
      <c r="E435" s="132" t="e">
        <f t="shared" si="5"/>
        <v>#REF!</v>
      </c>
      <c r="F435" s="132" t="e">
        <f t="shared" si="5"/>
        <v>#REF!</v>
      </c>
    </row>
    <row r="436" spans="1:6" s="80" customFormat="1" ht="47.25" x14ac:dyDescent="0.25">
      <c r="A436" s="83" t="s">
        <v>115</v>
      </c>
      <c r="B436" s="75" t="s">
        <v>448</v>
      </c>
      <c r="C436" s="75" t="s">
        <v>113</v>
      </c>
      <c r="D436" s="131">
        <f>'Прил 5'!S750</f>
        <v>3433.6</v>
      </c>
      <c r="E436" s="131" t="e">
        <f>'Прил 5'!#REF!</f>
        <v>#REF!</v>
      </c>
      <c r="F436" s="131" t="e">
        <f>'Прил 5'!#REF!</f>
        <v>#REF!</v>
      </c>
    </row>
    <row r="437" spans="1:6" s="80" customFormat="1" x14ac:dyDescent="0.25">
      <c r="A437" s="100" t="s">
        <v>1102</v>
      </c>
      <c r="B437" s="79" t="s">
        <v>1103</v>
      </c>
      <c r="C437" s="79" t="s">
        <v>9</v>
      </c>
      <c r="D437" s="131">
        <f>D438</f>
        <v>5000</v>
      </c>
      <c r="E437" s="131"/>
      <c r="F437" s="131"/>
    </row>
    <row r="438" spans="1:6" s="80" customFormat="1" x14ac:dyDescent="0.25">
      <c r="A438" s="100" t="s">
        <v>1105</v>
      </c>
      <c r="B438" s="79" t="s">
        <v>1104</v>
      </c>
      <c r="C438" s="79" t="s">
        <v>9</v>
      </c>
      <c r="D438" s="131">
        <f>D439</f>
        <v>5000</v>
      </c>
      <c r="E438" s="131"/>
      <c r="F438" s="131"/>
    </row>
    <row r="439" spans="1:6" s="80" customFormat="1" x14ac:dyDescent="0.25">
      <c r="A439" s="100" t="s">
        <v>1107</v>
      </c>
      <c r="B439" s="79" t="s">
        <v>1106</v>
      </c>
      <c r="C439" s="79" t="s">
        <v>9</v>
      </c>
      <c r="D439" s="131">
        <f>D440</f>
        <v>5000</v>
      </c>
      <c r="E439" s="131"/>
      <c r="F439" s="131"/>
    </row>
    <row r="440" spans="1:6" s="80" customFormat="1" x14ac:dyDescent="0.25">
      <c r="A440" s="264" t="s">
        <v>124</v>
      </c>
      <c r="B440" s="75" t="s">
        <v>1106</v>
      </c>
      <c r="C440" s="75" t="s">
        <v>117</v>
      </c>
      <c r="D440" s="131">
        <f>'Прил 5'!S754</f>
        <v>5000</v>
      </c>
      <c r="E440" s="131"/>
      <c r="F440" s="131"/>
    </row>
    <row r="441" spans="1:6" s="80" customFormat="1" ht="15.6" hidden="1" x14ac:dyDescent="0.3">
      <c r="A441" s="100" t="s">
        <v>798</v>
      </c>
      <c r="B441" s="79" t="s">
        <v>800</v>
      </c>
      <c r="C441" s="79" t="s">
        <v>9</v>
      </c>
      <c r="D441" s="131">
        <f>D442</f>
        <v>0</v>
      </c>
      <c r="E441" s="131"/>
      <c r="F441" s="131"/>
    </row>
    <row r="442" spans="1:6" s="80" customFormat="1" ht="15.6" hidden="1" x14ac:dyDescent="0.3">
      <c r="A442" s="100" t="s">
        <v>799</v>
      </c>
      <c r="B442" s="79" t="s">
        <v>801</v>
      </c>
      <c r="C442" s="79" t="s">
        <v>9</v>
      </c>
      <c r="D442" s="131">
        <f>D445+D447+D443</f>
        <v>0</v>
      </c>
      <c r="E442" s="131"/>
      <c r="F442" s="131"/>
    </row>
    <row r="443" spans="1:6" s="80" customFormat="1" ht="15.6" hidden="1" x14ac:dyDescent="0.3">
      <c r="A443" s="267" t="s">
        <v>1016</v>
      </c>
      <c r="B443" s="79" t="s">
        <v>1012</v>
      </c>
      <c r="C443" s="79" t="s">
        <v>9</v>
      </c>
      <c r="D443" s="131">
        <f>D444</f>
        <v>0</v>
      </c>
      <c r="E443" s="131"/>
      <c r="F443" s="131"/>
    </row>
    <row r="444" spans="1:6" s="80" customFormat="1" ht="15.6" hidden="1" x14ac:dyDescent="0.3">
      <c r="A444" s="264" t="s">
        <v>124</v>
      </c>
      <c r="B444" s="75" t="s">
        <v>1012</v>
      </c>
      <c r="C444" s="75" t="s">
        <v>117</v>
      </c>
      <c r="D444" s="131">
        <f>'Прил 5'!S871+'Прил 5'!S846</f>
        <v>0</v>
      </c>
      <c r="E444" s="131"/>
      <c r="F444" s="131"/>
    </row>
    <row r="445" spans="1:6" s="80" customFormat="1" ht="31.15" hidden="1" x14ac:dyDescent="0.3">
      <c r="A445" s="100" t="s">
        <v>714</v>
      </c>
      <c r="B445" s="79" t="s">
        <v>713</v>
      </c>
      <c r="C445" s="79" t="s">
        <v>9</v>
      </c>
      <c r="D445" s="132">
        <f>D446</f>
        <v>0</v>
      </c>
      <c r="E445" s="132" t="e">
        <f>E446</f>
        <v>#REF!</v>
      </c>
      <c r="F445" s="132" t="e">
        <f>F446</f>
        <v>#REF!</v>
      </c>
    </row>
    <row r="446" spans="1:6" s="80" customFormat="1" ht="15.6" hidden="1" x14ac:dyDescent="0.3">
      <c r="A446" s="74" t="s">
        <v>124</v>
      </c>
      <c r="B446" s="75" t="s">
        <v>713</v>
      </c>
      <c r="C446" s="75" t="s">
        <v>117</v>
      </c>
      <c r="D446" s="131">
        <f>'Прил 5'!S841</f>
        <v>0</v>
      </c>
      <c r="E446" s="131" t="e">
        <f>'Прил 5'!#REF!</f>
        <v>#REF!</v>
      </c>
      <c r="F446" s="131" t="e">
        <f>'Прил 5'!#REF!</f>
        <v>#REF!</v>
      </c>
    </row>
    <row r="447" spans="1:6" s="77" customFormat="1" ht="31.15" hidden="1" x14ac:dyDescent="0.3">
      <c r="A447" s="78" t="s">
        <v>684</v>
      </c>
      <c r="B447" s="79" t="s">
        <v>685</v>
      </c>
      <c r="C447" s="79" t="s">
        <v>9</v>
      </c>
      <c r="D447" s="132">
        <f>D448</f>
        <v>0</v>
      </c>
      <c r="E447" s="132" t="e">
        <f>E448</f>
        <v>#REF!</v>
      </c>
      <c r="F447" s="132" t="e">
        <f>F448</f>
        <v>#REF!</v>
      </c>
    </row>
    <row r="448" spans="1:6" s="77" customFormat="1" ht="31.15" hidden="1" x14ac:dyDescent="0.3">
      <c r="A448" s="74" t="s">
        <v>469</v>
      </c>
      <c r="B448" s="75" t="s">
        <v>685</v>
      </c>
      <c r="C448" s="75" t="s">
        <v>213</v>
      </c>
      <c r="D448" s="131">
        <f>'Прил 5'!S843</f>
        <v>0</v>
      </c>
      <c r="E448" s="131" t="e">
        <f>'Прил 5'!#REF!</f>
        <v>#REF!</v>
      </c>
      <c r="F448" s="131" t="e">
        <f>'Прил 5'!#REF!</f>
        <v>#REF!</v>
      </c>
    </row>
    <row r="449" spans="1:6" s="77" customFormat="1" ht="31.5" x14ac:dyDescent="0.25">
      <c r="A449" s="78" t="s">
        <v>84</v>
      </c>
      <c r="B449" s="79" t="s">
        <v>437</v>
      </c>
      <c r="C449" s="79" t="s">
        <v>9</v>
      </c>
      <c r="D449" s="132">
        <f>D450</f>
        <v>37.5</v>
      </c>
      <c r="E449" s="132" t="e">
        <f>E450</f>
        <v>#REF!</v>
      </c>
      <c r="F449" s="132" t="e">
        <f>F450</f>
        <v>#REF!</v>
      </c>
    </row>
    <row r="450" spans="1:6" s="77" customFormat="1" x14ac:dyDescent="0.25">
      <c r="A450" s="74" t="s">
        <v>124</v>
      </c>
      <c r="B450" s="75" t="s">
        <v>437</v>
      </c>
      <c r="C450" s="75" t="s">
        <v>117</v>
      </c>
      <c r="D450" s="131">
        <f>'Прил 5'!S497</f>
        <v>37.5</v>
      </c>
      <c r="E450" s="131" t="e">
        <f>'Прил 5'!#REF!</f>
        <v>#REF!</v>
      </c>
      <c r="F450" s="131" t="e">
        <f>'Прил 5'!#REF!</f>
        <v>#REF!</v>
      </c>
    </row>
    <row r="451" spans="1:6" s="77" customFormat="1" ht="31.5" x14ac:dyDescent="0.25">
      <c r="A451" s="78" t="s">
        <v>209</v>
      </c>
      <c r="B451" s="79" t="s">
        <v>445</v>
      </c>
      <c r="C451" s="79" t="s">
        <v>9</v>
      </c>
      <c r="D451" s="132">
        <f>D452</f>
        <v>10.5</v>
      </c>
      <c r="E451" s="132" t="e">
        <f>E452</f>
        <v>#REF!</v>
      </c>
      <c r="F451" s="132" t="e">
        <f>F452</f>
        <v>#REF!</v>
      </c>
    </row>
    <row r="452" spans="1:6" s="80" customFormat="1" x14ac:dyDescent="0.25">
      <c r="A452" s="74" t="s">
        <v>124</v>
      </c>
      <c r="B452" s="75" t="s">
        <v>445</v>
      </c>
      <c r="C452" s="75" t="s">
        <v>117</v>
      </c>
      <c r="D452" s="131">
        <f>'Прил 5'!S731</f>
        <v>10.5</v>
      </c>
      <c r="E452" s="131" t="e">
        <f>'Прил 5'!#REF!</f>
        <v>#REF!</v>
      </c>
      <c r="F452" s="131" t="e">
        <f>'Прил 5'!#REF!</f>
        <v>#REF!</v>
      </c>
    </row>
    <row r="453" spans="1:6" s="77" customFormat="1" x14ac:dyDescent="0.25">
      <c r="A453" s="78" t="s">
        <v>131</v>
      </c>
      <c r="B453" s="79" t="s">
        <v>446</v>
      </c>
      <c r="C453" s="79" t="s">
        <v>9</v>
      </c>
      <c r="D453" s="132">
        <f>D454</f>
        <v>88.5</v>
      </c>
      <c r="E453" s="132" t="e">
        <f>E454</f>
        <v>#REF!</v>
      </c>
      <c r="F453" s="132" t="e">
        <f>F454</f>
        <v>#REF!</v>
      </c>
    </row>
    <row r="454" spans="1:6" s="77" customFormat="1" x14ac:dyDescent="0.25">
      <c r="A454" s="74" t="s">
        <v>124</v>
      </c>
      <c r="B454" s="75" t="s">
        <v>446</v>
      </c>
      <c r="C454" s="75" t="s">
        <v>117</v>
      </c>
      <c r="D454" s="131">
        <f>'Прил 5'!S733</f>
        <v>88.5</v>
      </c>
      <c r="E454" s="131" t="e">
        <f>'Прил 5'!#REF!</f>
        <v>#REF!</v>
      </c>
      <c r="F454" s="131" t="e">
        <f>'Прил 5'!#REF!</f>
        <v>#REF!</v>
      </c>
    </row>
    <row r="455" spans="1:6" s="80" customFormat="1" ht="31.5" x14ac:dyDescent="0.25">
      <c r="A455" s="78" t="s">
        <v>997</v>
      </c>
      <c r="B455" s="79" t="s">
        <v>493</v>
      </c>
      <c r="C455" s="79" t="s">
        <v>9</v>
      </c>
      <c r="D455" s="132">
        <f>D456</f>
        <v>1446.8</v>
      </c>
      <c r="E455" s="132" t="e">
        <f>E456</f>
        <v>#REF!</v>
      </c>
      <c r="F455" s="132" t="e">
        <f>F456</f>
        <v>#REF!</v>
      </c>
    </row>
    <row r="456" spans="1:6" s="80" customFormat="1" ht="31.5" x14ac:dyDescent="0.25">
      <c r="A456" s="74" t="s">
        <v>843</v>
      </c>
      <c r="B456" s="75" t="s">
        <v>493</v>
      </c>
      <c r="C456" s="75" t="s">
        <v>490</v>
      </c>
      <c r="D456" s="131">
        <f>'Прил 5'!S861</f>
        <v>1446.8</v>
      </c>
      <c r="E456" s="131" t="e">
        <f>'Прил 5'!#REF!</f>
        <v>#REF!</v>
      </c>
      <c r="F456" s="131" t="e">
        <f>'Прил 5'!#REF!</f>
        <v>#REF!</v>
      </c>
    </row>
    <row r="457" spans="1:6" s="80" customFormat="1" ht="31.5" x14ac:dyDescent="0.25">
      <c r="A457" s="78" t="s">
        <v>997</v>
      </c>
      <c r="B457" s="79" t="s">
        <v>1004</v>
      </c>
      <c r="C457" s="79" t="s">
        <v>9</v>
      </c>
      <c r="D457" s="132">
        <f>D458</f>
        <v>12255.6</v>
      </c>
      <c r="E457" s="131"/>
      <c r="F457" s="131"/>
    </row>
    <row r="458" spans="1:6" s="80" customFormat="1" ht="31.5" x14ac:dyDescent="0.25">
      <c r="A458" s="74" t="s">
        <v>843</v>
      </c>
      <c r="B458" s="75" t="s">
        <v>1004</v>
      </c>
      <c r="C458" s="75" t="s">
        <v>490</v>
      </c>
      <c r="D458" s="131">
        <f>'Прил 5'!S863</f>
        <v>12255.6</v>
      </c>
      <c r="E458" s="131"/>
      <c r="F458" s="131"/>
    </row>
    <row r="459" spans="1:6" s="80" customFormat="1" x14ac:dyDescent="0.25">
      <c r="A459" s="78" t="s">
        <v>99</v>
      </c>
      <c r="B459" s="79" t="s">
        <v>458</v>
      </c>
      <c r="C459" s="79" t="s">
        <v>9</v>
      </c>
      <c r="D459" s="132">
        <f>D461+D462+D463+D460</f>
        <v>286</v>
      </c>
      <c r="E459" s="132" t="e">
        <f>E461+E462</f>
        <v>#REF!</v>
      </c>
      <c r="F459" s="132" t="e">
        <f>F461+F462</f>
        <v>#REF!</v>
      </c>
    </row>
    <row r="460" spans="1:6" s="80" customFormat="1" ht="46.9" hidden="1" x14ac:dyDescent="0.3">
      <c r="A460" s="83" t="s">
        <v>115</v>
      </c>
      <c r="B460" s="75" t="s">
        <v>458</v>
      </c>
      <c r="C460" s="75" t="s">
        <v>113</v>
      </c>
      <c r="D460" s="132">
        <f>'Прил 5'!S851</f>
        <v>0</v>
      </c>
      <c r="E460" s="132"/>
      <c r="F460" s="132"/>
    </row>
    <row r="461" spans="1:6" s="80" customFormat="1" x14ac:dyDescent="0.25">
      <c r="A461" s="74" t="s">
        <v>124</v>
      </c>
      <c r="B461" s="75" t="s">
        <v>458</v>
      </c>
      <c r="C461" s="75" t="s">
        <v>117</v>
      </c>
      <c r="D461" s="131">
        <f>'Прил 5'!S852+'Прил 5'!S204</f>
        <v>286</v>
      </c>
      <c r="E461" s="131" t="e">
        <f>'Прил 5'!#REF!</f>
        <v>#REF!</v>
      </c>
      <c r="F461" s="131" t="e">
        <f>'Прил 5'!#REF!</f>
        <v>#REF!</v>
      </c>
    </row>
    <row r="462" spans="1:6" s="80" customFormat="1" ht="31.15" hidden="1" x14ac:dyDescent="0.3">
      <c r="A462" s="74" t="s">
        <v>469</v>
      </c>
      <c r="B462" s="75" t="s">
        <v>458</v>
      </c>
      <c r="C462" s="75" t="s">
        <v>213</v>
      </c>
      <c r="D462" s="131">
        <f>'Прил 5'!S853</f>
        <v>0</v>
      </c>
      <c r="E462" s="131" t="e">
        <f>'Прил 5'!#REF!</f>
        <v>#REF!</v>
      </c>
      <c r="F462" s="131" t="e">
        <f>'Прил 5'!#REF!</f>
        <v>#REF!</v>
      </c>
    </row>
    <row r="463" spans="1:6" s="80" customFormat="1" ht="31.15" hidden="1" x14ac:dyDescent="0.3">
      <c r="A463" s="74" t="s">
        <v>843</v>
      </c>
      <c r="B463" s="75" t="s">
        <v>458</v>
      </c>
      <c r="C463" s="75" t="s">
        <v>490</v>
      </c>
      <c r="D463" s="131">
        <f>'Прил 5'!S854</f>
        <v>0</v>
      </c>
      <c r="E463" s="131"/>
      <c r="F463" s="131"/>
    </row>
    <row r="464" spans="1:6" s="80" customFormat="1" ht="31.15" hidden="1" x14ac:dyDescent="0.3">
      <c r="A464" s="268" t="s">
        <v>995</v>
      </c>
      <c r="B464" s="79" t="s">
        <v>864</v>
      </c>
      <c r="C464" s="79" t="s">
        <v>9</v>
      </c>
      <c r="D464" s="131">
        <f>D465</f>
        <v>0</v>
      </c>
      <c r="E464" s="131"/>
      <c r="F464" s="131"/>
    </row>
    <row r="465" spans="1:6" s="80" customFormat="1" ht="31.15" hidden="1" x14ac:dyDescent="0.3">
      <c r="A465" s="84" t="s">
        <v>843</v>
      </c>
      <c r="B465" s="75" t="s">
        <v>864</v>
      </c>
      <c r="C465" s="75" t="s">
        <v>490</v>
      </c>
      <c r="D465" s="131">
        <f>'Прил 5'!S856</f>
        <v>0</v>
      </c>
      <c r="E465" s="131"/>
      <c r="F465" s="131"/>
    </row>
    <row r="466" spans="1:6" s="77" customFormat="1" ht="31.5" x14ac:dyDescent="0.25">
      <c r="A466" s="78" t="s">
        <v>94</v>
      </c>
      <c r="B466" s="79" t="s">
        <v>449</v>
      </c>
      <c r="C466" s="79" t="s">
        <v>9</v>
      </c>
      <c r="D466" s="132">
        <f>D467</f>
        <v>35</v>
      </c>
      <c r="E466" s="132" t="e">
        <f>E467</f>
        <v>#REF!</v>
      </c>
      <c r="F466" s="132" t="e">
        <f>F467</f>
        <v>#REF!</v>
      </c>
    </row>
    <row r="467" spans="1:6" s="80" customFormat="1" x14ac:dyDescent="0.25">
      <c r="A467" s="74" t="s">
        <v>124</v>
      </c>
      <c r="B467" s="75" t="s">
        <v>449</v>
      </c>
      <c r="C467" s="75" t="s">
        <v>117</v>
      </c>
      <c r="D467" s="131">
        <f>'Прил 5'!S756</f>
        <v>35</v>
      </c>
      <c r="E467" s="131" t="e">
        <f>'Прил 5'!#REF!</f>
        <v>#REF!</v>
      </c>
      <c r="F467" s="131" t="e">
        <f>'Прил 5'!#REF!</f>
        <v>#REF!</v>
      </c>
    </row>
    <row r="468" spans="1:6" s="80" customFormat="1" x14ac:dyDescent="0.25">
      <c r="A468" s="78" t="s">
        <v>205</v>
      </c>
      <c r="B468" s="79" t="s">
        <v>450</v>
      </c>
      <c r="C468" s="79" t="s">
        <v>9</v>
      </c>
      <c r="D468" s="132">
        <f>D469+D473+D477+D471</f>
        <v>52448.292000000001</v>
      </c>
      <c r="E468" s="132" t="e">
        <f>E469+E473+E477+E471</f>
        <v>#REF!</v>
      </c>
      <c r="F468" s="132" t="e">
        <f>F469+F473+F477+F471</f>
        <v>#REF!</v>
      </c>
    </row>
    <row r="469" spans="1:6" s="80" customFormat="1" x14ac:dyDescent="0.25">
      <c r="A469" s="78" t="s">
        <v>200</v>
      </c>
      <c r="B469" s="79" t="s">
        <v>451</v>
      </c>
      <c r="C469" s="79" t="s">
        <v>9</v>
      </c>
      <c r="D469" s="132">
        <f>D470</f>
        <v>7290.5919999999969</v>
      </c>
      <c r="E469" s="132" t="e">
        <f>E470</f>
        <v>#REF!</v>
      </c>
      <c r="F469" s="132" t="e">
        <f>F470</f>
        <v>#REF!</v>
      </c>
    </row>
    <row r="470" spans="1:6" s="80" customFormat="1" ht="31.5" x14ac:dyDescent="0.25">
      <c r="A470" s="74" t="s">
        <v>843</v>
      </c>
      <c r="B470" s="75" t="s">
        <v>451</v>
      </c>
      <c r="C470" s="75" t="s">
        <v>490</v>
      </c>
      <c r="D470" s="131">
        <f>'Прил 5'!S759</f>
        <v>7290.5919999999969</v>
      </c>
      <c r="E470" s="131" t="e">
        <f>'Прил 5'!#REF!</f>
        <v>#REF!</v>
      </c>
      <c r="F470" s="131" t="e">
        <f>'Прил 5'!#REF!</f>
        <v>#REF!</v>
      </c>
    </row>
    <row r="471" spans="1:6" s="80" customFormat="1" x14ac:dyDescent="0.25">
      <c r="A471" s="78" t="s">
        <v>200</v>
      </c>
      <c r="B471" s="79" t="s">
        <v>660</v>
      </c>
      <c r="C471" s="79" t="s">
        <v>9</v>
      </c>
      <c r="D471" s="132">
        <f>D472</f>
        <v>33628</v>
      </c>
      <c r="E471" s="132" t="e">
        <f>E472</f>
        <v>#REF!</v>
      </c>
      <c r="F471" s="132" t="e">
        <f>F472</f>
        <v>#REF!</v>
      </c>
    </row>
    <row r="472" spans="1:6" s="80" customFormat="1" ht="31.5" x14ac:dyDescent="0.25">
      <c r="A472" s="74" t="s">
        <v>843</v>
      </c>
      <c r="B472" s="75" t="s">
        <v>660</v>
      </c>
      <c r="C472" s="75" t="s">
        <v>490</v>
      </c>
      <c r="D472" s="131">
        <f>'Прил 5'!S761</f>
        <v>33628</v>
      </c>
      <c r="E472" s="131" t="e">
        <f>'Прил 5'!#REF!</f>
        <v>#REF!</v>
      </c>
      <c r="F472" s="131" t="e">
        <f>'Прил 5'!#REF!</f>
        <v>#REF!</v>
      </c>
    </row>
    <row r="473" spans="1:6" s="80" customFormat="1" x14ac:dyDescent="0.25">
      <c r="A473" s="78" t="s">
        <v>201</v>
      </c>
      <c r="B473" s="79" t="s">
        <v>452</v>
      </c>
      <c r="C473" s="79" t="s">
        <v>9</v>
      </c>
      <c r="D473" s="132">
        <f>D474+D475+D476</f>
        <v>11529.7</v>
      </c>
      <c r="E473" s="132" t="e">
        <f>E474+E475+E476</f>
        <v>#REF!</v>
      </c>
      <c r="F473" s="132" t="e">
        <f>F474+F475+F476</f>
        <v>#REF!</v>
      </c>
    </row>
    <row r="474" spans="1:6" s="77" customFormat="1" ht="47.25" x14ac:dyDescent="0.25">
      <c r="A474" s="74" t="s">
        <v>115</v>
      </c>
      <c r="B474" s="75" t="s">
        <v>452</v>
      </c>
      <c r="C474" s="75" t="s">
        <v>113</v>
      </c>
      <c r="D474" s="131">
        <f>'Прил 5'!S763+'Прил 5'!S815+'Прил 5'!S829</f>
        <v>7655.6</v>
      </c>
      <c r="E474" s="131" t="e">
        <f>'Прил 5'!#REF!</f>
        <v>#REF!</v>
      </c>
      <c r="F474" s="131" t="e">
        <f>'Прил 5'!#REF!</f>
        <v>#REF!</v>
      </c>
    </row>
    <row r="475" spans="1:6" s="77" customFormat="1" x14ac:dyDescent="0.25">
      <c r="A475" s="74" t="s">
        <v>124</v>
      </c>
      <c r="B475" s="75" t="s">
        <v>452</v>
      </c>
      <c r="C475" s="75" t="s">
        <v>117</v>
      </c>
      <c r="D475" s="131">
        <f>'Прил 5'!S764</f>
        <v>3819.4</v>
      </c>
      <c r="E475" s="131" t="e">
        <f>'Прил 5'!#REF!</f>
        <v>#REF!</v>
      </c>
      <c r="F475" s="131" t="e">
        <f>'Прил 5'!#REF!</f>
        <v>#REF!</v>
      </c>
    </row>
    <row r="476" spans="1:6" s="77" customFormat="1" x14ac:dyDescent="0.25">
      <c r="A476" s="74" t="s">
        <v>116</v>
      </c>
      <c r="B476" s="75" t="s">
        <v>452</v>
      </c>
      <c r="C476" s="75" t="s">
        <v>114</v>
      </c>
      <c r="D476" s="131">
        <f>'Прил 5'!S765</f>
        <v>54.7</v>
      </c>
      <c r="E476" s="131" t="e">
        <f>'Прил 5'!#REF!</f>
        <v>#REF!</v>
      </c>
      <c r="F476" s="131" t="e">
        <f>'Прил 5'!#REF!</f>
        <v>#REF!</v>
      </c>
    </row>
    <row r="477" spans="1:6" s="80" customFormat="1" ht="15.6" hidden="1" x14ac:dyDescent="0.3">
      <c r="A477" s="78" t="s">
        <v>201</v>
      </c>
      <c r="B477" s="79" t="s">
        <v>525</v>
      </c>
      <c r="C477" s="79" t="s">
        <v>9</v>
      </c>
      <c r="D477" s="132">
        <f>D478</f>
        <v>0</v>
      </c>
      <c r="E477" s="132" t="e">
        <f>E478</f>
        <v>#REF!</v>
      </c>
      <c r="F477" s="132" t="e">
        <f>F478</f>
        <v>#REF!</v>
      </c>
    </row>
    <row r="478" spans="1:6" s="80" customFormat="1" ht="15.6" hidden="1" x14ac:dyDescent="0.3">
      <c r="A478" s="74" t="s">
        <v>116</v>
      </c>
      <c r="B478" s="75" t="s">
        <v>525</v>
      </c>
      <c r="C478" s="75" t="s">
        <v>114</v>
      </c>
      <c r="D478" s="131">
        <f>'Прил 5'!S767</f>
        <v>0</v>
      </c>
      <c r="E478" s="131" t="e">
        <f>'Прил 5'!#REF!</f>
        <v>#REF!</v>
      </c>
      <c r="F478" s="131" t="e">
        <f>'Прил 5'!#REF!</f>
        <v>#REF!</v>
      </c>
    </row>
    <row r="479" spans="1:6" s="80" customFormat="1" ht="31.5" x14ac:dyDescent="0.25">
      <c r="A479" s="78" t="s">
        <v>78</v>
      </c>
      <c r="B479" s="79" t="s">
        <v>434</v>
      </c>
      <c r="C479" s="79" t="s">
        <v>9</v>
      </c>
      <c r="D479" s="132">
        <f>D480</f>
        <v>51</v>
      </c>
      <c r="E479" s="132" t="e">
        <f>E480</f>
        <v>#REF!</v>
      </c>
      <c r="F479" s="132" t="e">
        <f>F480</f>
        <v>#REF!</v>
      </c>
    </row>
    <row r="480" spans="1:6" s="80" customFormat="1" x14ac:dyDescent="0.25">
      <c r="A480" s="74" t="s">
        <v>124</v>
      </c>
      <c r="B480" s="75" t="s">
        <v>434</v>
      </c>
      <c r="C480" s="75" t="s">
        <v>117</v>
      </c>
      <c r="D480" s="131">
        <f>'Прил 5'!S469</f>
        <v>51</v>
      </c>
      <c r="E480" s="131" t="e">
        <f>'Прил 5'!#REF!</f>
        <v>#REF!</v>
      </c>
      <c r="F480" s="131" t="e">
        <f>'Прил 5'!#REF!</f>
        <v>#REF!</v>
      </c>
    </row>
    <row r="481" spans="1:6" s="80" customFormat="1" ht="31.5" x14ac:dyDescent="0.25">
      <c r="A481" s="78" t="s">
        <v>502</v>
      </c>
      <c r="B481" s="79" t="s">
        <v>494</v>
      </c>
      <c r="C481" s="79" t="s">
        <v>9</v>
      </c>
      <c r="D481" s="132">
        <f>D482</f>
        <v>7.5</v>
      </c>
      <c r="E481" s="132" t="e">
        <f>E482</f>
        <v>#REF!</v>
      </c>
      <c r="F481" s="132" t="e">
        <f>F482</f>
        <v>#REF!</v>
      </c>
    </row>
    <row r="482" spans="1:6" s="77" customFormat="1" x14ac:dyDescent="0.25">
      <c r="A482" s="74" t="s">
        <v>124</v>
      </c>
      <c r="B482" s="75" t="s">
        <v>494</v>
      </c>
      <c r="C482" s="75" t="s">
        <v>117</v>
      </c>
      <c r="D482" s="131">
        <f>'Прил 5'!S471</f>
        <v>7.5</v>
      </c>
      <c r="E482" s="131" t="e">
        <f>'Прил 5'!#REF!</f>
        <v>#REF!</v>
      </c>
      <c r="F482" s="131" t="e">
        <f>'Прил 5'!#REF!</f>
        <v>#REF!</v>
      </c>
    </row>
    <row r="483" spans="1:6" s="80" customFormat="1" ht="31.15" hidden="1" x14ac:dyDescent="0.3">
      <c r="A483" s="78" t="s">
        <v>890</v>
      </c>
      <c r="B483" s="79" t="s">
        <v>893</v>
      </c>
      <c r="C483" s="79" t="s">
        <v>9</v>
      </c>
      <c r="D483" s="132">
        <f>D485+D484</f>
        <v>0</v>
      </c>
      <c r="E483" s="132" t="e">
        <f>E485</f>
        <v>#REF!</v>
      </c>
      <c r="F483" s="132" t="e">
        <f>F485</f>
        <v>#REF!</v>
      </c>
    </row>
    <row r="484" spans="1:6" s="77" customFormat="1" ht="15.6" hidden="1" x14ac:dyDescent="0.3">
      <c r="A484" s="74" t="s">
        <v>124</v>
      </c>
      <c r="B484" s="75" t="s">
        <v>893</v>
      </c>
      <c r="C484" s="75" t="s">
        <v>117</v>
      </c>
      <c r="D484" s="131">
        <f>'Прил 5'!S769</f>
        <v>0</v>
      </c>
      <c r="E484" s="131"/>
      <c r="F484" s="131"/>
    </row>
    <row r="485" spans="1:6" s="80" customFormat="1" ht="31.15" hidden="1" x14ac:dyDescent="0.3">
      <c r="A485" s="74" t="s">
        <v>843</v>
      </c>
      <c r="B485" s="75" t="s">
        <v>893</v>
      </c>
      <c r="C485" s="75" t="s">
        <v>490</v>
      </c>
      <c r="D485" s="131">
        <f>'Прил 5'!S770</f>
        <v>0</v>
      </c>
      <c r="E485" s="131" t="e">
        <f>'Прил 5'!#REF!</f>
        <v>#REF!</v>
      </c>
      <c r="F485" s="131" t="e">
        <f>'Прил 5'!#REF!</f>
        <v>#REF!</v>
      </c>
    </row>
    <row r="486" spans="1:6" s="77" customFormat="1" ht="31.15" hidden="1" x14ac:dyDescent="0.3">
      <c r="A486" s="78" t="s">
        <v>890</v>
      </c>
      <c r="B486" s="79" t="s">
        <v>894</v>
      </c>
      <c r="C486" s="79" t="s">
        <v>9</v>
      </c>
      <c r="D486" s="132">
        <f>D487</f>
        <v>0</v>
      </c>
      <c r="E486" s="132" t="e">
        <f>E487</f>
        <v>#REF!</v>
      </c>
      <c r="F486" s="132" t="e">
        <f>F487</f>
        <v>#REF!</v>
      </c>
    </row>
    <row r="487" spans="1:6" s="77" customFormat="1" ht="31.15" hidden="1" x14ac:dyDescent="0.3">
      <c r="A487" s="74" t="s">
        <v>843</v>
      </c>
      <c r="B487" s="75" t="s">
        <v>894</v>
      </c>
      <c r="C487" s="75" t="s">
        <v>490</v>
      </c>
      <c r="D487" s="131">
        <f>'Прил 5'!S772</f>
        <v>0</v>
      </c>
      <c r="E487" s="131" t="e">
        <f>'Прил 5'!#REF!</f>
        <v>#REF!</v>
      </c>
      <c r="F487" s="131" t="e">
        <f>'Прил 5'!#REF!</f>
        <v>#REF!</v>
      </c>
    </row>
    <row r="488" spans="1:6" s="77" customFormat="1" x14ac:dyDescent="0.25">
      <c r="A488" s="78" t="s">
        <v>712</v>
      </c>
      <c r="B488" s="79" t="s">
        <v>711</v>
      </c>
      <c r="C488" s="79" t="s">
        <v>9</v>
      </c>
      <c r="D488" s="132">
        <f>D489</f>
        <v>2051.4124999999999</v>
      </c>
      <c r="E488" s="131"/>
      <c r="F488" s="131"/>
    </row>
    <row r="489" spans="1:6" s="77" customFormat="1" x14ac:dyDescent="0.25">
      <c r="A489" s="74" t="s">
        <v>125</v>
      </c>
      <c r="B489" s="75" t="s">
        <v>711</v>
      </c>
      <c r="C489" s="75" t="s">
        <v>118</v>
      </c>
      <c r="D489" s="131">
        <f>'Прил 5'!S827</f>
        <v>2051.4124999999999</v>
      </c>
      <c r="E489" s="131"/>
      <c r="F489" s="131"/>
    </row>
    <row r="490" spans="1:6" s="77" customFormat="1" x14ac:dyDescent="0.25">
      <c r="A490" s="78" t="s">
        <v>1058</v>
      </c>
      <c r="B490" s="79" t="s">
        <v>1061</v>
      </c>
      <c r="C490" s="79" t="s">
        <v>9</v>
      </c>
      <c r="D490" s="132">
        <f>D491</f>
        <v>128.88900000000001</v>
      </c>
      <c r="E490" s="131"/>
      <c r="F490" s="131"/>
    </row>
    <row r="491" spans="1:6" s="77" customFormat="1" ht="31.5" x14ac:dyDescent="0.25">
      <c r="A491" s="74" t="s">
        <v>843</v>
      </c>
      <c r="B491" s="75" t="s">
        <v>1061</v>
      </c>
      <c r="C491" s="75" t="s">
        <v>117</v>
      </c>
      <c r="D491" s="131">
        <f>'Прил 5'!S774</f>
        <v>128.88900000000001</v>
      </c>
      <c r="E491" s="131"/>
      <c r="F491" s="131"/>
    </row>
    <row r="492" spans="1:6" s="77" customFormat="1" x14ac:dyDescent="0.25">
      <c r="A492" s="78" t="s">
        <v>52</v>
      </c>
      <c r="B492" s="79" t="s">
        <v>394</v>
      </c>
      <c r="C492" s="79" t="s">
        <v>9</v>
      </c>
      <c r="D492" s="132">
        <f>D493+D533+D535+D539+D542+D544+D520+D522+D513+D525+D527+D547+D529+D502+D504+D537+D498+D508+D531+D515</f>
        <v>149954.79700000002</v>
      </c>
      <c r="E492" s="132" t="e">
        <f>E493</f>
        <v>#REF!</v>
      </c>
      <c r="F492" s="132" t="e">
        <f>F493</f>
        <v>#REF!</v>
      </c>
    </row>
    <row r="493" spans="1:6" s="80" customFormat="1" ht="31.5" x14ac:dyDescent="0.25">
      <c r="A493" s="78" t="s">
        <v>41</v>
      </c>
      <c r="B493" s="79" t="s">
        <v>438</v>
      </c>
      <c r="C493" s="79" t="s">
        <v>9</v>
      </c>
      <c r="D493" s="132">
        <f>D494+D510+D517+D500+D496+D506</f>
        <v>144035.89965000001</v>
      </c>
      <c r="E493" s="131" t="e">
        <f>'Прил 5'!#REF!</f>
        <v>#REF!</v>
      </c>
      <c r="F493" s="131" t="e">
        <f>'Прил 5'!#REF!</f>
        <v>#REF!</v>
      </c>
    </row>
    <row r="494" spans="1:6" s="77" customFormat="1" ht="31.5" x14ac:dyDescent="0.25">
      <c r="A494" s="78" t="s">
        <v>212</v>
      </c>
      <c r="B494" s="79" t="s">
        <v>439</v>
      </c>
      <c r="C494" s="79" t="s">
        <v>9</v>
      </c>
      <c r="D494" s="132">
        <f>D495</f>
        <v>19177</v>
      </c>
      <c r="E494" s="132" t="e">
        <f>E495</f>
        <v>#REF!</v>
      </c>
      <c r="F494" s="132" t="e">
        <f>F495</f>
        <v>#REF!</v>
      </c>
    </row>
    <row r="495" spans="1:6" s="80" customFormat="1" x14ac:dyDescent="0.25">
      <c r="A495" s="74" t="s">
        <v>124</v>
      </c>
      <c r="B495" s="75" t="s">
        <v>439</v>
      </c>
      <c r="C495" s="75" t="s">
        <v>117</v>
      </c>
      <c r="D495" s="131">
        <f>'Прил 5'!S562</f>
        <v>19177</v>
      </c>
      <c r="E495" s="131" t="e">
        <f>'Прил 5'!#REF!</f>
        <v>#REF!</v>
      </c>
      <c r="F495" s="131" t="e">
        <f>'Прил 5'!#REF!</f>
        <v>#REF!</v>
      </c>
    </row>
    <row r="496" spans="1:6" s="80" customFormat="1" ht="62.45" hidden="1" x14ac:dyDescent="0.3">
      <c r="A496" s="267" t="s">
        <v>1231</v>
      </c>
      <c r="B496" s="599" t="s">
        <v>1008</v>
      </c>
      <c r="C496" s="599" t="s">
        <v>9</v>
      </c>
      <c r="D496" s="132">
        <f>D497</f>
        <v>0</v>
      </c>
      <c r="E496" s="131"/>
      <c r="F496" s="131"/>
    </row>
    <row r="497" spans="1:6" s="80" customFormat="1" ht="29.25" hidden="1" customHeight="1" x14ac:dyDescent="0.3">
      <c r="A497" s="264" t="s">
        <v>124</v>
      </c>
      <c r="B497" s="75" t="s">
        <v>1008</v>
      </c>
      <c r="C497" s="75" t="s">
        <v>117</v>
      </c>
      <c r="D497" s="132">
        <f>'Прил 5'!S564</f>
        <v>0</v>
      </c>
      <c r="E497" s="131"/>
      <c r="F497" s="131"/>
    </row>
    <row r="498" spans="1:6" s="80" customFormat="1" ht="29.25" hidden="1" customHeight="1" x14ac:dyDescent="0.3">
      <c r="A498" s="267" t="s">
        <v>1231</v>
      </c>
      <c r="B498" s="599" t="s">
        <v>1009</v>
      </c>
      <c r="C498" s="599" t="s">
        <v>9</v>
      </c>
      <c r="D498" s="132">
        <f>D499</f>
        <v>0</v>
      </c>
      <c r="E498" s="131"/>
      <c r="F498" s="131"/>
    </row>
    <row r="499" spans="1:6" s="80" customFormat="1" ht="29.25" hidden="1" customHeight="1" x14ac:dyDescent="0.3">
      <c r="A499" s="264" t="s">
        <v>124</v>
      </c>
      <c r="B499" s="75" t="s">
        <v>1009</v>
      </c>
      <c r="C499" s="75" t="s">
        <v>117</v>
      </c>
      <c r="D499" s="132">
        <f>'Прил 5'!S565</f>
        <v>0</v>
      </c>
      <c r="E499" s="131"/>
      <c r="F499" s="131"/>
    </row>
    <row r="500" spans="1:6" s="80" customFormat="1" ht="63" x14ac:dyDescent="0.25">
      <c r="A500" s="391" t="s">
        <v>1167</v>
      </c>
      <c r="B500" s="79" t="s">
        <v>1165</v>
      </c>
      <c r="C500" s="79" t="s">
        <v>9</v>
      </c>
      <c r="D500" s="132">
        <f>D501</f>
        <v>23942.7</v>
      </c>
      <c r="E500" s="131"/>
      <c r="F500" s="131"/>
    </row>
    <row r="501" spans="1:6" s="80" customFormat="1" x14ac:dyDescent="0.25">
      <c r="A501" s="264" t="s">
        <v>124</v>
      </c>
      <c r="B501" s="75" t="s">
        <v>1165</v>
      </c>
      <c r="C501" s="75" t="s">
        <v>117</v>
      </c>
      <c r="D501" s="131">
        <f>'Прил 5'!S568</f>
        <v>23942.7</v>
      </c>
      <c r="E501" s="131"/>
      <c r="F501" s="131"/>
    </row>
    <row r="502" spans="1:6" s="80" customFormat="1" ht="63" x14ac:dyDescent="0.25">
      <c r="A502" s="392" t="s">
        <v>1167</v>
      </c>
      <c r="B502" s="79" t="s">
        <v>1166</v>
      </c>
      <c r="C502" s="79" t="s">
        <v>9</v>
      </c>
      <c r="D502" s="131">
        <f>D503</f>
        <v>23.967000000000002</v>
      </c>
      <c r="E502" s="131"/>
      <c r="F502" s="131"/>
    </row>
    <row r="503" spans="1:6" s="80" customFormat="1" x14ac:dyDescent="0.25">
      <c r="A503" s="74" t="s">
        <v>124</v>
      </c>
      <c r="B503" s="75" t="s">
        <v>1166</v>
      </c>
      <c r="C503" s="75" t="s">
        <v>117</v>
      </c>
      <c r="D503" s="131">
        <f>'Прил 5'!S575</f>
        <v>23.967000000000002</v>
      </c>
      <c r="E503" s="131"/>
      <c r="F503" s="131"/>
    </row>
    <row r="504" spans="1:6" s="80" customFormat="1" ht="63" x14ac:dyDescent="0.25">
      <c r="A504" s="392" t="s">
        <v>1167</v>
      </c>
      <c r="B504" s="457" t="s">
        <v>1192</v>
      </c>
      <c r="C504" s="457" t="s">
        <v>9</v>
      </c>
      <c r="D504" s="131">
        <f>D505</f>
        <v>7.5246000000000004</v>
      </c>
      <c r="E504" s="131"/>
      <c r="F504" s="131"/>
    </row>
    <row r="505" spans="1:6" s="80" customFormat="1" x14ac:dyDescent="0.25">
      <c r="A505" s="74" t="s">
        <v>124</v>
      </c>
      <c r="B505" s="75" t="s">
        <v>1192</v>
      </c>
      <c r="C505" s="75" t="s">
        <v>117</v>
      </c>
      <c r="D505" s="131">
        <f>'Прил 5'!S573</f>
        <v>7.5246000000000004</v>
      </c>
      <c r="E505" s="131"/>
      <c r="F505" s="131"/>
    </row>
    <row r="506" spans="1:6" s="80" customFormat="1" ht="15.6" hidden="1" x14ac:dyDescent="0.3">
      <c r="A506" s="267" t="s">
        <v>1234</v>
      </c>
      <c r="B506" s="599" t="s">
        <v>1233</v>
      </c>
      <c r="C506" s="599" t="s">
        <v>9</v>
      </c>
      <c r="D506" s="132">
        <f>D507</f>
        <v>0</v>
      </c>
      <c r="E506" s="131"/>
      <c r="F506" s="131"/>
    </row>
    <row r="507" spans="1:6" s="80" customFormat="1" ht="15.6" hidden="1" x14ac:dyDescent="0.3">
      <c r="A507" s="264" t="s">
        <v>124</v>
      </c>
      <c r="B507" s="75" t="s">
        <v>1233</v>
      </c>
      <c r="C507" s="75" t="s">
        <v>117</v>
      </c>
      <c r="D507" s="131">
        <f>'Прил 5'!S501</f>
        <v>0</v>
      </c>
      <c r="E507" s="131"/>
      <c r="F507" s="131"/>
    </row>
    <row r="508" spans="1:6" s="80" customFormat="1" ht="15.6" hidden="1" x14ac:dyDescent="0.3">
      <c r="A508" s="267" t="s">
        <v>1234</v>
      </c>
      <c r="B508" s="599" t="s">
        <v>1235</v>
      </c>
      <c r="C508" s="599" t="s">
        <v>9</v>
      </c>
      <c r="D508" s="132">
        <f>D509</f>
        <v>0</v>
      </c>
      <c r="E508" s="131"/>
      <c r="F508" s="131"/>
    </row>
    <row r="509" spans="1:6" s="80" customFormat="1" ht="15.6" hidden="1" x14ac:dyDescent="0.3">
      <c r="A509" s="264" t="s">
        <v>124</v>
      </c>
      <c r="B509" s="75" t="s">
        <v>1235</v>
      </c>
      <c r="C509" s="75" t="s">
        <v>117</v>
      </c>
      <c r="D509" s="131">
        <f>'Прил 5'!S503</f>
        <v>0</v>
      </c>
      <c r="E509" s="131"/>
      <c r="F509" s="131"/>
    </row>
    <row r="510" spans="1:6" s="80" customFormat="1" ht="31.5" x14ac:dyDescent="0.25">
      <c r="A510" s="78" t="s">
        <v>1086</v>
      </c>
      <c r="B510" s="79" t="s">
        <v>715</v>
      </c>
      <c r="C510" s="79" t="s">
        <v>9</v>
      </c>
      <c r="D510" s="132">
        <f>D512+D511</f>
        <v>98268.6</v>
      </c>
      <c r="E510" s="132" t="e">
        <f>E512</f>
        <v>#REF!</v>
      </c>
      <c r="F510" s="132" t="e">
        <f>F512</f>
        <v>#REF!</v>
      </c>
    </row>
    <row r="511" spans="1:6" s="80" customFormat="1" x14ac:dyDescent="0.25">
      <c r="A511" s="74" t="s">
        <v>124</v>
      </c>
      <c r="B511" s="75" t="s">
        <v>715</v>
      </c>
      <c r="C511" s="75" t="s">
        <v>117</v>
      </c>
      <c r="D511" s="131">
        <f>'Прил 5'!S570</f>
        <v>98268.6</v>
      </c>
      <c r="E511" s="132"/>
      <c r="F511" s="132"/>
    </row>
    <row r="512" spans="1:6" s="80" customFormat="1" ht="15.6" hidden="1" x14ac:dyDescent="0.3">
      <c r="A512" s="74" t="s">
        <v>123</v>
      </c>
      <c r="B512" s="75" t="s">
        <v>715</v>
      </c>
      <c r="C512" s="75" t="s">
        <v>119</v>
      </c>
      <c r="D512" s="131">
        <f>'Прил 5'!S571</f>
        <v>0</v>
      </c>
      <c r="E512" s="131" t="e">
        <f>'Прил 5'!#REF!+'Прил 5'!#REF!</f>
        <v>#REF!</v>
      </c>
      <c r="F512" s="131" t="e">
        <f>'Прил 5'!#REF!+'Прил 5'!#REF!</f>
        <v>#REF!</v>
      </c>
    </row>
    <row r="513" spans="1:6" s="80" customFormat="1" ht="31.5" x14ac:dyDescent="0.25">
      <c r="A513" s="78" t="s">
        <v>1086</v>
      </c>
      <c r="B513" s="79" t="s">
        <v>1087</v>
      </c>
      <c r="C513" s="79" t="s">
        <v>9</v>
      </c>
      <c r="D513" s="132">
        <f>D514</f>
        <v>102.6528</v>
      </c>
      <c r="E513" s="131"/>
      <c r="F513" s="131"/>
    </row>
    <row r="514" spans="1:6" s="80" customFormat="1" x14ac:dyDescent="0.25">
      <c r="A514" s="74" t="s">
        <v>124</v>
      </c>
      <c r="B514" s="75" t="s">
        <v>1087</v>
      </c>
      <c r="C514" s="75" t="s">
        <v>117</v>
      </c>
      <c r="D514" s="131">
        <f>'Прил 5'!S577</f>
        <v>102.6528</v>
      </c>
      <c r="E514" s="131"/>
      <c r="F514" s="131"/>
    </row>
    <row r="515" spans="1:6" s="80" customFormat="1" ht="31.5" x14ac:dyDescent="0.25">
      <c r="A515" s="267" t="s">
        <v>1086</v>
      </c>
      <c r="B515" s="285" t="s">
        <v>1265</v>
      </c>
      <c r="C515" s="642" t="s">
        <v>9</v>
      </c>
      <c r="D515" s="131">
        <f>D516</f>
        <v>22.30987</v>
      </c>
      <c r="E515" s="131"/>
      <c r="F515" s="131"/>
    </row>
    <row r="516" spans="1:6" s="80" customFormat="1" x14ac:dyDescent="0.25">
      <c r="A516" s="264" t="s">
        <v>124</v>
      </c>
      <c r="B516" s="265" t="s">
        <v>1265</v>
      </c>
      <c r="C516" s="380" t="s">
        <v>117</v>
      </c>
      <c r="D516" s="131">
        <f>'Прил 5'!S579</f>
        <v>22.30987</v>
      </c>
      <c r="E516" s="131"/>
      <c r="F516" s="131"/>
    </row>
    <row r="517" spans="1:6" s="80" customFormat="1" x14ac:dyDescent="0.25">
      <c r="A517" s="78" t="s">
        <v>986</v>
      </c>
      <c r="B517" s="79" t="s">
        <v>989</v>
      </c>
      <c r="C517" s="79" t="s">
        <v>9</v>
      </c>
      <c r="D517" s="132">
        <f>D518+D519</f>
        <v>2647.5996500000001</v>
      </c>
      <c r="E517" s="132" t="e">
        <f>E518</f>
        <v>#REF!</v>
      </c>
      <c r="F517" s="132" t="e">
        <f>F518</f>
        <v>#REF!</v>
      </c>
    </row>
    <row r="518" spans="1:6" s="77" customFormat="1" x14ac:dyDescent="0.25">
      <c r="A518" s="74" t="s">
        <v>124</v>
      </c>
      <c r="B518" s="75" t="s">
        <v>989</v>
      </c>
      <c r="C518" s="75" t="s">
        <v>117</v>
      </c>
      <c r="D518" s="131">
        <f>'Прил 5'!S670</f>
        <v>2647.5996500000001</v>
      </c>
      <c r="E518" s="131" t="e">
        <f>'Прил 5'!#REF!</f>
        <v>#REF!</v>
      </c>
      <c r="F518" s="131" t="e">
        <f>'Прил 5'!#REF!</f>
        <v>#REF!</v>
      </c>
    </row>
    <row r="519" spans="1:6" s="77" customFormat="1" ht="15.6" hidden="1" x14ac:dyDescent="0.3">
      <c r="A519" s="74" t="s">
        <v>813</v>
      </c>
      <c r="B519" s="75" t="s">
        <v>989</v>
      </c>
      <c r="C519" s="75" t="s">
        <v>119</v>
      </c>
      <c r="D519" s="131">
        <f>'Прил 5'!S671</f>
        <v>0</v>
      </c>
      <c r="E519" s="132" t="e">
        <f>E520+E521</f>
        <v>#REF!</v>
      </c>
      <c r="F519" s="132" t="e">
        <f>F520+F521</f>
        <v>#REF!</v>
      </c>
    </row>
    <row r="520" spans="1:6" s="77" customFormat="1" x14ac:dyDescent="0.25">
      <c r="A520" s="78" t="s">
        <v>986</v>
      </c>
      <c r="B520" s="79" t="s">
        <v>990</v>
      </c>
      <c r="C520" s="79" t="s">
        <v>9</v>
      </c>
      <c r="D520" s="132">
        <f>D521</f>
        <v>139.34735000000001</v>
      </c>
      <c r="E520" s="131" t="e">
        <f>'Прил 5'!#REF!</f>
        <v>#REF!</v>
      </c>
      <c r="F520" s="131" t="e">
        <f>'Прил 5'!#REF!</f>
        <v>#REF!</v>
      </c>
    </row>
    <row r="521" spans="1:6" s="77" customFormat="1" x14ac:dyDescent="0.25">
      <c r="A521" s="74" t="s">
        <v>124</v>
      </c>
      <c r="B521" s="75" t="s">
        <v>990</v>
      </c>
      <c r="C521" s="75" t="s">
        <v>117</v>
      </c>
      <c r="D521" s="131">
        <f>'Прил 5'!S673</f>
        <v>139.34735000000001</v>
      </c>
      <c r="E521" s="131" t="e">
        <f>'Прил 5'!#REF!</f>
        <v>#REF!</v>
      </c>
      <c r="F521" s="131" t="e">
        <f>'Прил 5'!#REF!</f>
        <v>#REF!</v>
      </c>
    </row>
    <row r="522" spans="1:6" s="80" customFormat="1" ht="15.6" hidden="1" x14ac:dyDescent="0.3">
      <c r="A522" s="78" t="s">
        <v>39</v>
      </c>
      <c r="B522" s="79" t="s">
        <v>977</v>
      </c>
      <c r="C522" s="79" t="s">
        <v>9</v>
      </c>
      <c r="D522" s="132">
        <f>D523</f>
        <v>0</v>
      </c>
      <c r="E522" s="132"/>
      <c r="F522" s="132"/>
    </row>
    <row r="523" spans="1:6" s="80" customFormat="1" ht="15.6" hidden="1" x14ac:dyDescent="0.3">
      <c r="A523" s="78" t="s">
        <v>978</v>
      </c>
      <c r="B523" s="79" t="s">
        <v>979</v>
      </c>
      <c r="C523" s="79" t="s">
        <v>9</v>
      </c>
      <c r="D523" s="132">
        <f>D524</f>
        <v>0</v>
      </c>
      <c r="E523" s="132"/>
      <c r="F523" s="132"/>
    </row>
    <row r="524" spans="1:6" s="77" customFormat="1" ht="15.6" hidden="1" x14ac:dyDescent="0.3">
      <c r="A524" s="74" t="s">
        <v>124</v>
      </c>
      <c r="B524" s="75" t="s">
        <v>979</v>
      </c>
      <c r="C524" s="75" t="s">
        <v>117</v>
      </c>
      <c r="D524" s="131">
        <f>'Прил 5'!S587</f>
        <v>0</v>
      </c>
      <c r="E524" s="131"/>
      <c r="F524" s="131"/>
    </row>
    <row r="525" spans="1:6" s="77" customFormat="1" x14ac:dyDescent="0.25">
      <c r="A525" s="268" t="s">
        <v>1089</v>
      </c>
      <c r="B525" s="79" t="s">
        <v>1088</v>
      </c>
      <c r="C525" s="79" t="s">
        <v>9</v>
      </c>
      <c r="D525" s="132">
        <f>D526</f>
        <v>475</v>
      </c>
      <c r="E525" s="131"/>
      <c r="F525" s="131"/>
    </row>
    <row r="526" spans="1:6" s="77" customFormat="1" x14ac:dyDescent="0.25">
      <c r="A526" s="84" t="s">
        <v>124</v>
      </c>
      <c r="B526" s="75" t="s">
        <v>1088</v>
      </c>
      <c r="C526" s="75" t="s">
        <v>117</v>
      </c>
      <c r="D526" s="131">
        <f>'Прил 5'!S706</f>
        <v>475</v>
      </c>
      <c r="E526" s="131"/>
      <c r="F526" s="131"/>
    </row>
    <row r="527" spans="1:6" s="77" customFormat="1" x14ac:dyDescent="0.25">
      <c r="A527" s="268" t="s">
        <v>1089</v>
      </c>
      <c r="B527" s="79" t="s">
        <v>1091</v>
      </c>
      <c r="C527" s="79" t="s">
        <v>9</v>
      </c>
      <c r="D527" s="132">
        <f>D528</f>
        <v>25</v>
      </c>
      <c r="E527" s="131"/>
      <c r="F527" s="131"/>
    </row>
    <row r="528" spans="1:6" s="77" customFormat="1" x14ac:dyDescent="0.25">
      <c r="A528" s="84" t="s">
        <v>124</v>
      </c>
      <c r="B528" s="75" t="s">
        <v>1091</v>
      </c>
      <c r="C528" s="75" t="s">
        <v>117</v>
      </c>
      <c r="D528" s="131">
        <f>'Прил 5'!S708</f>
        <v>25</v>
      </c>
      <c r="E528" s="131"/>
      <c r="F528" s="131"/>
    </row>
    <row r="529" spans="1:6" s="77" customFormat="1" x14ac:dyDescent="0.25">
      <c r="A529" s="268" t="s">
        <v>1089</v>
      </c>
      <c r="B529" s="79" t="s">
        <v>1126</v>
      </c>
      <c r="C529" s="79" t="s">
        <v>9</v>
      </c>
      <c r="D529" s="132">
        <f>D530</f>
        <v>500</v>
      </c>
      <c r="E529" s="131"/>
      <c r="F529" s="131"/>
    </row>
    <row r="530" spans="1:6" s="77" customFormat="1" x14ac:dyDescent="0.25">
      <c r="A530" s="84" t="s">
        <v>124</v>
      </c>
      <c r="B530" s="75" t="s">
        <v>1126</v>
      </c>
      <c r="C530" s="75" t="s">
        <v>117</v>
      </c>
      <c r="D530" s="131">
        <f>'Прил 5'!S710</f>
        <v>500</v>
      </c>
      <c r="E530" s="131"/>
      <c r="F530" s="131"/>
    </row>
    <row r="531" spans="1:6" s="77" customFormat="1" x14ac:dyDescent="0.25">
      <c r="A531" s="267" t="s">
        <v>1246</v>
      </c>
      <c r="B531" s="621" t="s">
        <v>1245</v>
      </c>
      <c r="C531" s="621" t="s">
        <v>9</v>
      </c>
      <c r="D531" s="132">
        <f>D532</f>
        <v>348.1</v>
      </c>
      <c r="E531" s="131"/>
      <c r="F531" s="131"/>
    </row>
    <row r="532" spans="1:6" s="77" customFormat="1" x14ac:dyDescent="0.25">
      <c r="A532" s="264" t="s">
        <v>124</v>
      </c>
      <c r="B532" s="75" t="s">
        <v>1245</v>
      </c>
      <c r="C532" s="75" t="s">
        <v>117</v>
      </c>
      <c r="D532" s="131">
        <f>'Прил 5'!S589</f>
        <v>348.1</v>
      </c>
      <c r="E532" s="131"/>
      <c r="F532" s="131"/>
    </row>
    <row r="533" spans="1:6" s="80" customFormat="1" ht="15.6" hidden="1" x14ac:dyDescent="0.3">
      <c r="A533" s="78" t="s">
        <v>92</v>
      </c>
      <c r="B533" s="79" t="s">
        <v>444</v>
      </c>
      <c r="C533" s="79" t="s">
        <v>9</v>
      </c>
      <c r="D533" s="132">
        <f>D534</f>
        <v>0</v>
      </c>
      <c r="E533" s="132" t="e">
        <f>E534</f>
        <v>#REF!</v>
      </c>
      <c r="F533" s="132" t="e">
        <f>F534</f>
        <v>#REF!</v>
      </c>
    </row>
    <row r="534" spans="1:6" s="80" customFormat="1" ht="15.6" hidden="1" x14ac:dyDescent="0.3">
      <c r="A534" s="74" t="s">
        <v>124</v>
      </c>
      <c r="B534" s="75" t="s">
        <v>444</v>
      </c>
      <c r="C534" s="75" t="s">
        <v>117</v>
      </c>
      <c r="D534" s="131">
        <f>'Прил 5'!S696+'Прил 5'!S701+'Прил 5'!S695</f>
        <v>0</v>
      </c>
      <c r="E534" s="131" t="e">
        <f>'Прил 5'!#REF!</f>
        <v>#REF!</v>
      </c>
      <c r="F534" s="131" t="e">
        <f>'Прил 5'!#REF!</f>
        <v>#REF!</v>
      </c>
    </row>
    <row r="535" spans="1:6" s="77" customFormat="1" ht="31.5" x14ac:dyDescent="0.25">
      <c r="A535" s="78" t="s">
        <v>53</v>
      </c>
      <c r="B535" s="79" t="s">
        <v>395</v>
      </c>
      <c r="C535" s="79" t="s">
        <v>9</v>
      </c>
      <c r="D535" s="132">
        <f>D536</f>
        <v>100</v>
      </c>
      <c r="E535" s="132" t="e">
        <f>E542+E544+E546+E554</f>
        <v>#REF!</v>
      </c>
      <c r="F535" s="132" t="e">
        <f>F542+F544+F546+F554</f>
        <v>#REF!</v>
      </c>
    </row>
    <row r="536" spans="1:6" s="77" customFormat="1" x14ac:dyDescent="0.25">
      <c r="A536" s="74" t="s">
        <v>116</v>
      </c>
      <c r="B536" s="75" t="s">
        <v>395</v>
      </c>
      <c r="C536" s="75" t="s">
        <v>114</v>
      </c>
      <c r="D536" s="131">
        <f>'Прил 5'!S220</f>
        <v>100</v>
      </c>
      <c r="E536" s="132"/>
      <c r="F536" s="132"/>
    </row>
    <row r="537" spans="1:6" s="77" customFormat="1" ht="31.5" x14ac:dyDescent="0.25">
      <c r="A537" s="267" t="s">
        <v>1223</v>
      </c>
      <c r="B537" s="553" t="s">
        <v>1222</v>
      </c>
      <c r="C537" s="553" t="s">
        <v>9</v>
      </c>
      <c r="D537" s="132">
        <f>D538</f>
        <v>772.3</v>
      </c>
      <c r="E537" s="132"/>
      <c r="F537" s="132"/>
    </row>
    <row r="538" spans="1:6" s="77" customFormat="1" x14ac:dyDescent="0.25">
      <c r="A538" s="264" t="s">
        <v>124</v>
      </c>
      <c r="B538" s="75" t="s">
        <v>1222</v>
      </c>
      <c r="C538" s="75" t="s">
        <v>117</v>
      </c>
      <c r="D538" s="131">
        <f>'Прил 5'!S505</f>
        <v>772.3</v>
      </c>
      <c r="E538" s="132"/>
      <c r="F538" s="132"/>
    </row>
    <row r="539" spans="1:6" s="77" customFormat="1" ht="31.5" x14ac:dyDescent="0.25">
      <c r="A539" s="78" t="s">
        <v>86</v>
      </c>
      <c r="B539" s="79" t="s">
        <v>440</v>
      </c>
      <c r="C539" s="79" t="s">
        <v>9</v>
      </c>
      <c r="D539" s="132">
        <f>D540+D541</f>
        <v>15</v>
      </c>
      <c r="E539" s="132"/>
      <c r="F539" s="132"/>
    </row>
    <row r="540" spans="1:6" s="77" customFormat="1" x14ac:dyDescent="0.25">
      <c r="A540" s="74" t="s">
        <v>124</v>
      </c>
      <c r="B540" s="75" t="s">
        <v>440</v>
      </c>
      <c r="C540" s="75" t="s">
        <v>117</v>
      </c>
      <c r="D540" s="131">
        <f>'Прил 5'!S591</f>
        <v>15</v>
      </c>
      <c r="E540" s="132"/>
      <c r="F540" s="132"/>
    </row>
    <row r="541" spans="1:6" s="77" customFormat="1" ht="15.6" hidden="1" x14ac:dyDescent="0.3">
      <c r="A541" s="74" t="s">
        <v>123</v>
      </c>
      <c r="B541" s="75" t="s">
        <v>440</v>
      </c>
      <c r="C541" s="75" t="s">
        <v>119</v>
      </c>
      <c r="D541" s="131">
        <f>'Прил 5'!S592</f>
        <v>0</v>
      </c>
      <c r="E541" s="132"/>
      <c r="F541" s="132"/>
    </row>
    <row r="542" spans="1:6" s="80" customFormat="1" ht="31.5" x14ac:dyDescent="0.25">
      <c r="A542" s="78" t="s">
        <v>212</v>
      </c>
      <c r="B542" s="79" t="s">
        <v>468</v>
      </c>
      <c r="C542" s="79" t="s">
        <v>9</v>
      </c>
      <c r="D542" s="132">
        <f>D543</f>
        <v>1010.105</v>
      </c>
      <c r="E542" s="132" t="e">
        <f>E543</f>
        <v>#REF!</v>
      </c>
      <c r="F542" s="132" t="e">
        <f>F543</f>
        <v>#REF!</v>
      </c>
    </row>
    <row r="543" spans="1:6" s="77" customFormat="1" x14ac:dyDescent="0.25">
      <c r="A543" s="74" t="s">
        <v>124</v>
      </c>
      <c r="B543" s="75" t="s">
        <v>468</v>
      </c>
      <c r="C543" s="75" t="s">
        <v>117</v>
      </c>
      <c r="D543" s="131">
        <f>'Прил 5'!S581</f>
        <v>1010.105</v>
      </c>
      <c r="E543" s="131" t="e">
        <f>'Прил 5'!#REF!</f>
        <v>#REF!</v>
      </c>
      <c r="F543" s="131" t="e">
        <f>'Прил 5'!#REF!</f>
        <v>#REF!</v>
      </c>
    </row>
    <row r="544" spans="1:6" s="80" customFormat="1" ht="31.5" x14ac:dyDescent="0.25">
      <c r="A544" s="78" t="s">
        <v>212</v>
      </c>
      <c r="B544" s="79" t="s">
        <v>976</v>
      </c>
      <c r="C544" s="79" t="s">
        <v>9</v>
      </c>
      <c r="D544" s="132">
        <f>D545+D546</f>
        <v>2377.5907299999999</v>
      </c>
      <c r="E544" s="132" t="e">
        <f>E545</f>
        <v>#REF!</v>
      </c>
      <c r="F544" s="132" t="e">
        <f>F545</f>
        <v>#REF!</v>
      </c>
    </row>
    <row r="545" spans="1:6" s="77" customFormat="1" x14ac:dyDescent="0.25">
      <c r="A545" s="74" t="s">
        <v>124</v>
      </c>
      <c r="B545" s="75" t="s">
        <v>976</v>
      </c>
      <c r="C545" s="75" t="s">
        <v>117</v>
      </c>
      <c r="D545" s="131">
        <f>'Прил 5'!S583</f>
        <v>1315.7907299999997</v>
      </c>
      <c r="E545" s="131" t="e">
        <f>'Прил 5'!#REF!</f>
        <v>#REF!</v>
      </c>
      <c r="F545" s="131" t="e">
        <f>'Прил 5'!#REF!</f>
        <v>#REF!</v>
      </c>
    </row>
    <row r="546" spans="1:6" s="80" customFormat="1" x14ac:dyDescent="0.25">
      <c r="A546" s="74" t="s">
        <v>123</v>
      </c>
      <c r="B546" s="75" t="s">
        <v>976</v>
      </c>
      <c r="C546" s="75" t="s">
        <v>119</v>
      </c>
      <c r="D546" s="131">
        <f>'Прил 5'!S584</f>
        <v>1061.8</v>
      </c>
      <c r="E546" s="132" t="e">
        <f>E553</f>
        <v>#REF!</v>
      </c>
      <c r="F546" s="132" t="e">
        <f>F553</f>
        <v>#REF!</v>
      </c>
    </row>
    <row r="547" spans="1:6" s="80" customFormat="1" ht="15.6" hidden="1" x14ac:dyDescent="0.3">
      <c r="A547" s="78" t="s">
        <v>1096</v>
      </c>
      <c r="B547" s="79" t="s">
        <v>1095</v>
      </c>
      <c r="C547" s="79" t="s">
        <v>9</v>
      </c>
      <c r="D547" s="132">
        <f>D548</f>
        <v>0</v>
      </c>
      <c r="E547" s="132"/>
      <c r="F547" s="132"/>
    </row>
    <row r="548" spans="1:6" s="80" customFormat="1" ht="15.6" hidden="1" x14ac:dyDescent="0.3">
      <c r="A548" s="78" t="s">
        <v>1097</v>
      </c>
      <c r="B548" s="79" t="s">
        <v>1094</v>
      </c>
      <c r="C548" s="79" t="s">
        <v>9</v>
      </c>
      <c r="D548" s="132">
        <f>D549+D551</f>
        <v>0</v>
      </c>
      <c r="E548" s="132"/>
      <c r="F548" s="132"/>
    </row>
    <row r="549" spans="1:6" s="80" customFormat="1" ht="15.6" hidden="1" x14ac:dyDescent="0.3">
      <c r="A549" s="78" t="s">
        <v>1098</v>
      </c>
      <c r="B549" s="79" t="s">
        <v>1093</v>
      </c>
      <c r="C549" s="79" t="s">
        <v>9</v>
      </c>
      <c r="D549" s="132">
        <f>D550</f>
        <v>0</v>
      </c>
      <c r="E549" s="132"/>
      <c r="F549" s="132"/>
    </row>
    <row r="550" spans="1:6" s="80" customFormat="1" ht="31.15" hidden="1" x14ac:dyDescent="0.3">
      <c r="A550" s="74" t="s">
        <v>469</v>
      </c>
      <c r="B550" s="75" t="s">
        <v>1093</v>
      </c>
      <c r="C550" s="75" t="s">
        <v>213</v>
      </c>
      <c r="D550" s="131">
        <f>'Прил 5'!S687</f>
        <v>0</v>
      </c>
      <c r="E550" s="132"/>
      <c r="F550" s="132"/>
    </row>
    <row r="551" spans="1:6" s="80" customFormat="1" ht="15.6" hidden="1" x14ac:dyDescent="0.3">
      <c r="A551" s="78" t="s">
        <v>1098</v>
      </c>
      <c r="B551" s="79" t="s">
        <v>1092</v>
      </c>
      <c r="C551" s="79" t="s">
        <v>9</v>
      </c>
      <c r="D551" s="132">
        <f>D552</f>
        <v>0</v>
      </c>
      <c r="E551" s="132"/>
      <c r="F551" s="132"/>
    </row>
    <row r="552" spans="1:6" s="80" customFormat="1" ht="31.15" hidden="1" x14ac:dyDescent="0.3">
      <c r="A552" s="74" t="s">
        <v>469</v>
      </c>
      <c r="B552" s="75" t="s">
        <v>1092</v>
      </c>
      <c r="C552" s="75" t="s">
        <v>213</v>
      </c>
      <c r="D552" s="131">
        <f>'Прил 5'!S689</f>
        <v>0</v>
      </c>
      <c r="E552" s="132"/>
      <c r="F552" s="132"/>
    </row>
    <row r="553" spans="1:6" s="80" customFormat="1" x14ac:dyDescent="0.25">
      <c r="A553" s="78" t="s">
        <v>103</v>
      </c>
      <c r="B553" s="79" t="s">
        <v>459</v>
      </c>
      <c r="C553" s="79" t="s">
        <v>9</v>
      </c>
      <c r="D553" s="132">
        <f>D554+D565</f>
        <v>1833.9</v>
      </c>
      <c r="E553" s="131" t="e">
        <f>'Прил 5'!#REF!+'Прил 5'!#REF!</f>
        <v>#REF!</v>
      </c>
      <c r="F553" s="131" t="e">
        <f>'Прил 5'!#REF!+'Прил 5'!#REF!</f>
        <v>#REF!</v>
      </c>
    </row>
    <row r="554" spans="1:6" s="77" customFormat="1" x14ac:dyDescent="0.25">
      <c r="A554" s="78" t="s">
        <v>796</v>
      </c>
      <c r="B554" s="79" t="s">
        <v>791</v>
      </c>
      <c r="C554" s="79" t="s">
        <v>9</v>
      </c>
      <c r="D554" s="132">
        <f>D555+D557+D560+D562</f>
        <v>1833.9</v>
      </c>
      <c r="E554" s="132" t="e">
        <f>E555+E556</f>
        <v>#REF!</v>
      </c>
      <c r="F554" s="132" t="e">
        <f>F555+F556</f>
        <v>#REF!</v>
      </c>
    </row>
    <row r="555" spans="1:6" x14ac:dyDescent="0.25">
      <c r="A555" s="78" t="s">
        <v>105</v>
      </c>
      <c r="B555" s="79" t="s">
        <v>795</v>
      </c>
      <c r="C555" s="79" t="s">
        <v>9</v>
      </c>
      <c r="D555" s="132">
        <f>D556</f>
        <v>401.6</v>
      </c>
      <c r="E555" s="131" t="e">
        <f>'Прил 5'!#REF!</f>
        <v>#REF!</v>
      </c>
      <c r="F555" s="131" t="e">
        <f>'Прил 5'!#REF!</f>
        <v>#REF!</v>
      </c>
    </row>
    <row r="556" spans="1:6" ht="47.25" x14ac:dyDescent="0.25">
      <c r="A556" s="74" t="s">
        <v>115</v>
      </c>
      <c r="B556" s="75" t="s">
        <v>795</v>
      </c>
      <c r="C556" s="75" t="s">
        <v>113</v>
      </c>
      <c r="D556" s="131">
        <f>'Прил 5'!S884</f>
        <v>401.6</v>
      </c>
      <c r="E556" s="131" t="e">
        <f>'Прил 5'!#REF!</f>
        <v>#REF!</v>
      </c>
      <c r="F556" s="131" t="e">
        <f>'Прил 5'!#REF!</f>
        <v>#REF!</v>
      </c>
    </row>
    <row r="557" spans="1:6" x14ac:dyDescent="0.25">
      <c r="A557" s="78" t="s">
        <v>109</v>
      </c>
      <c r="B557" s="79" t="s">
        <v>792</v>
      </c>
      <c r="C557" s="79" t="s">
        <v>9</v>
      </c>
      <c r="D557" s="132">
        <f>D558+D559</f>
        <v>958.3</v>
      </c>
    </row>
    <row r="558" spans="1:6" ht="47.25" x14ac:dyDescent="0.25">
      <c r="A558" s="74" t="s">
        <v>115</v>
      </c>
      <c r="B558" s="75" t="s">
        <v>792</v>
      </c>
      <c r="C558" s="75" t="s">
        <v>113</v>
      </c>
      <c r="D558" s="131">
        <f>'Прил 5'!S895</f>
        <v>948.3</v>
      </c>
    </row>
    <row r="559" spans="1:6" x14ac:dyDescent="0.25">
      <c r="A559" s="74" t="s">
        <v>124</v>
      </c>
      <c r="B559" s="75" t="s">
        <v>792</v>
      </c>
      <c r="C559" s="75" t="s">
        <v>117</v>
      </c>
      <c r="D559" s="131">
        <f>'Прил 5'!S896</f>
        <v>10</v>
      </c>
    </row>
    <row r="560" spans="1:6" x14ac:dyDescent="0.25">
      <c r="A560" s="78" t="s">
        <v>79</v>
      </c>
      <c r="B560" s="79" t="s">
        <v>794</v>
      </c>
      <c r="C560" s="79" t="s">
        <v>9</v>
      </c>
      <c r="D560" s="132">
        <f>D561</f>
        <v>5</v>
      </c>
      <c r="E560" s="69"/>
      <c r="F560" s="69"/>
    </row>
    <row r="561" spans="1:6" x14ac:dyDescent="0.25">
      <c r="A561" s="74" t="s">
        <v>124</v>
      </c>
      <c r="B561" s="75" t="s">
        <v>794</v>
      </c>
      <c r="C561" s="75" t="s">
        <v>117</v>
      </c>
      <c r="D561" s="131">
        <f>'Прил 5'!S888+'Прил 5'!S904</f>
        <v>5</v>
      </c>
      <c r="E561" s="8"/>
      <c r="F561" s="8"/>
    </row>
    <row r="562" spans="1:6" x14ac:dyDescent="0.25">
      <c r="A562" s="78" t="s">
        <v>26</v>
      </c>
      <c r="B562" s="79" t="s">
        <v>793</v>
      </c>
      <c r="C562" s="79" t="s">
        <v>9</v>
      </c>
      <c r="D562" s="132">
        <f>D563+D564</f>
        <v>469</v>
      </c>
    </row>
    <row r="563" spans="1:6" ht="47.25" x14ac:dyDescent="0.25">
      <c r="A563" s="74" t="s">
        <v>115</v>
      </c>
      <c r="B563" s="75" t="s">
        <v>793</v>
      </c>
      <c r="C563" s="75" t="s">
        <v>113</v>
      </c>
      <c r="D563" s="131">
        <f>'Прил 5'!S898</f>
        <v>469</v>
      </c>
    </row>
    <row r="564" spans="1:6" ht="15.6" hidden="1" x14ac:dyDescent="0.3">
      <c r="A564" s="74" t="s">
        <v>124</v>
      </c>
      <c r="B564" s="75" t="s">
        <v>793</v>
      </c>
      <c r="C564" s="75" t="s">
        <v>117</v>
      </c>
      <c r="D564" s="131">
        <f>'Прил 5'!S899</f>
        <v>0</v>
      </c>
    </row>
    <row r="565" spans="1:6" ht="46.9" hidden="1" x14ac:dyDescent="0.3">
      <c r="A565" s="78" t="s">
        <v>1051</v>
      </c>
      <c r="B565" s="79" t="s">
        <v>1052</v>
      </c>
      <c r="C565" s="79" t="s">
        <v>9</v>
      </c>
      <c r="D565" s="132">
        <f>D566</f>
        <v>0</v>
      </c>
    </row>
    <row r="566" spans="1:6" ht="15.6" hidden="1" x14ac:dyDescent="0.3">
      <c r="A566" s="74" t="s">
        <v>116</v>
      </c>
      <c r="B566" s="75" t="s">
        <v>1052</v>
      </c>
      <c r="C566" s="75" t="s">
        <v>114</v>
      </c>
      <c r="D566" s="269">
        <f>'Прил 5'!S539</f>
        <v>0</v>
      </c>
    </row>
    <row r="567" spans="1:6" x14ac:dyDescent="0.25">
      <c r="B567" s="716"/>
      <c r="C567" s="716"/>
      <c r="D567" s="717"/>
    </row>
  </sheetData>
  <autoFilter ref="A11:F566">
    <filterColumn colId="3">
      <filters>
        <filter val="0,1"/>
        <filter val="0,7"/>
        <filter val="1 010,1"/>
        <filter val="1 061,8"/>
        <filter val="1 100,0"/>
        <filter val="1 102,0"/>
        <filter val="1 124,8"/>
        <filter val="1 200,0"/>
        <filter val="1 212,4"/>
        <filter val="1 218,7"/>
        <filter val="1 267,0"/>
        <filter val="1 315,8"/>
        <filter val="1 359,1"/>
        <filter val="1 446,8"/>
        <filter val="1 477,3"/>
        <filter val="1 479,3"/>
        <filter val="1 500,0"/>
        <filter val="1 521,6"/>
        <filter val="1 624,1"/>
        <filter val="1 677,6"/>
        <filter val="1 682,7"/>
        <filter val="1 764,9"/>
        <filter val="1 833,9"/>
        <filter val="1 909,8"/>
        <filter val="1 994,9"/>
        <filter val="10 664,2"/>
        <filter val="10 688,7"/>
        <filter val="10 699,2"/>
        <filter val="10,0"/>
        <filter val="10,5"/>
        <filter val="100,0"/>
        <filter val="102,7"/>
        <filter val="103 196,2"/>
        <filter val="11 124,1"/>
        <filter val="11 138,2"/>
        <filter val="11 529,7"/>
        <filter val="112,8"/>
        <filter val="12 255,6"/>
        <filter val="12 276,3"/>
        <filter val="12 426,1"/>
        <filter val="12 967,9"/>
        <filter val="12,4"/>
        <filter val="120,1"/>
        <filter val="122,3"/>
        <filter val="128,9"/>
        <filter val="13 738,1"/>
        <filter val="139,3"/>
        <filter val="144 035,9"/>
        <filter val="145,7"/>
        <filter val="149 954,8"/>
        <filter val="15 896,7"/>
        <filter val="15,0"/>
        <filter val="150,2"/>
        <filter val="156,0"/>
        <filter val="16 057,3"/>
        <filter val="160,6"/>
        <filter val="166,4"/>
        <filter val="167 943,8"/>
        <filter val="17 358,9"/>
        <filter val="170 138,0"/>
        <filter val="181,0"/>
        <filter val="189,9"/>
        <filter val="19 177,0"/>
        <filter val="19 706,4"/>
        <filter val="2 026,0"/>
        <filter val="2 026,5"/>
        <filter val="2 051,4"/>
        <filter val="2 054,7"/>
        <filter val="2 084,0"/>
        <filter val="2 102,0"/>
        <filter val="2 107,8"/>
        <filter val="2 122,3"/>
        <filter val="2 128,8"/>
        <filter val="2 135,7"/>
        <filter val="2 192,0"/>
        <filter val="2 246,0"/>
        <filter val="2 300,0"/>
        <filter val="2 377,6"/>
        <filter val="2 386,0"/>
        <filter val="2 551,3"/>
        <filter val="2 647,6"/>
        <filter val="2 714,5"/>
        <filter val="2 730,0"/>
        <filter val="2 746,0"/>
        <filter val="2 959,2"/>
        <filter val="2 974,9"/>
        <filter val="2 980,5"/>
        <filter val="2,2"/>
        <filter val="20 143,3"/>
        <filter val="20 670,6"/>
        <filter val="20 916,5"/>
        <filter val="205 966,7"/>
        <filter val="208,5"/>
        <filter val="21,0"/>
        <filter val="21,7"/>
        <filter val="22 003,4"/>
        <filter val="22 938,3"/>
        <filter val="22,3"/>
        <filter val="220,3"/>
        <filter val="23 942,7"/>
        <filter val="234,0"/>
        <filter val="24 898,0"/>
        <filter val="24,0"/>
        <filter val="25,0"/>
        <filter val="26 667,9"/>
        <filter val="27 633,5"/>
        <filter val="276,6"/>
        <filter val="285,9"/>
        <filter val="286,0"/>
        <filter val="286,9"/>
        <filter val="288,0"/>
        <filter val="29 087,7"/>
        <filter val="29,9"/>
        <filter val="3 122,2"/>
        <filter val="3 258,6"/>
        <filter val="3 260,8"/>
        <filter val="3 433,6"/>
        <filter val="3 600,0"/>
        <filter val="3 695,0"/>
        <filter val="3 700,0"/>
        <filter val="3 775,1"/>
        <filter val="3 819,4"/>
        <filter val="3 961,4"/>
        <filter val="300,0"/>
        <filter val="310,0"/>
        <filter val="310,9"/>
        <filter val="32,0"/>
        <filter val="33 628,0"/>
        <filter val="348,1"/>
        <filter val="35 173,2"/>
        <filter val="35 708,6"/>
        <filter val="35,0"/>
        <filter val="359 593,1"/>
        <filter val="36 465,5"/>
        <filter val="368,8"/>
        <filter val="37,5"/>
        <filter val="39 166,5"/>
        <filter val="395,4"/>
        <filter val="4 302,0"/>
        <filter val="4 575,9"/>
        <filter val="401,6"/>
        <filter val="41,6"/>
        <filter val="415,6"/>
        <filter val="42 871,2"/>
        <filter val="43 515,0"/>
        <filter val="43 749,0"/>
        <filter val="436 352,4"/>
        <filter val="45,9"/>
        <filter val="460,5"/>
        <filter val="469,0"/>
        <filter val="475,0"/>
        <filter val="488,8"/>
        <filter val="5 000,0"/>
        <filter val="5 259,4"/>
        <filter val="5 466,0"/>
        <filter val="5 620,3"/>
        <filter val="5 674,7"/>
        <filter val="5 842,1"/>
        <filter val="5 988,0"/>
        <filter val="5,0"/>
        <filter val="5,1"/>
        <filter val="5,3"/>
        <filter val="500,0"/>
        <filter val="51,0"/>
        <filter val="52 448,3"/>
        <filter val="535,4"/>
        <filter val="54,4"/>
        <filter val="54,7"/>
        <filter val="549,6"/>
        <filter val="57 733,9"/>
        <filter val="57 939,9"/>
        <filter val="57,5"/>
        <filter val="59,8"/>
        <filter val="592,0"/>
        <filter val="592,2"/>
        <filter val="6 087,1"/>
        <filter val="6 417,2"/>
        <filter val="6 975,0"/>
        <filter val="6,5"/>
        <filter val="60,0"/>
        <filter val="60,5"/>
        <filter val="62 193,5"/>
        <filter val="621,6"/>
        <filter val="639,0"/>
        <filter val="662,9"/>
        <filter val="690,0"/>
        <filter val="7 045,5"/>
        <filter val="7 290,6"/>
        <filter val="7 563,3"/>
        <filter val="7 650,5"/>
        <filter val="7 655,6"/>
        <filter val="7,5"/>
        <filter val="70,5"/>
        <filter val="708,6"/>
        <filter val="719,3"/>
        <filter val="72,9"/>
        <filter val="728,9"/>
        <filter val="742,5"/>
        <filter val="750,0"/>
        <filter val="772,3"/>
        <filter val="79 336,7"/>
        <filter val="794,6"/>
        <filter val="8 075,3"/>
        <filter val="8 191,9"/>
        <filter val="8 275,7"/>
        <filter val="8 281,2"/>
        <filter val="8 478,7"/>
        <filter val="8 576,0"/>
        <filter val="8 674,0"/>
        <filter val="8 757,0"/>
        <filter val="8 794,6"/>
        <filter val="8,3"/>
        <filter val="8,4"/>
        <filter val="83,8"/>
        <filter val="830,0"/>
        <filter val="831,1"/>
        <filter val="838,3"/>
        <filter val="86,0"/>
        <filter val="88,5"/>
        <filter val="883 173,9"/>
        <filter val="9 019,2"/>
        <filter val="9 171,7"/>
        <filter val="903,3"/>
        <filter val="948,3"/>
        <filter val="95,0"/>
        <filter val="958,3"/>
        <filter val="96,8"/>
        <filter val="97,5"/>
        <filter val="974,7"/>
        <filter val="98 268,6"/>
      </filters>
    </filterColumn>
  </autoFilter>
  <mergeCells count="7">
    <mergeCell ref="E9:F9"/>
    <mergeCell ref="B567:D567"/>
    <mergeCell ref="A6:D6"/>
    <mergeCell ref="A7:D7"/>
    <mergeCell ref="A9:A10"/>
    <mergeCell ref="B9:C9"/>
    <mergeCell ref="D9:D10"/>
  </mergeCells>
  <pageMargins left="0.70866141732283472" right="0.70866141732283472" top="0.55118110236220474" bottom="0.43307086614173229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C12"/>
  <sheetViews>
    <sheetView view="pageBreakPreview" zoomScale="120" zoomScaleNormal="100" zoomScaleSheetLayoutView="120" workbookViewId="0">
      <selection activeCell="C11" sqref="C11"/>
    </sheetView>
  </sheetViews>
  <sheetFormatPr defaultColWidth="85.5703125" defaultRowHeight="15.75" x14ac:dyDescent="0.25"/>
  <cols>
    <col min="1" max="1" width="9.140625" style="259" customWidth="1"/>
    <col min="2" max="2" width="65.28515625" style="259" customWidth="1"/>
    <col min="3" max="3" width="25.42578125" style="259" customWidth="1"/>
    <col min="4" max="253" width="9.140625" style="259" customWidth="1"/>
    <col min="254" max="16384" width="85.5703125" style="259"/>
  </cols>
  <sheetData>
    <row r="1" spans="1:3" x14ac:dyDescent="0.25">
      <c r="B1" s="725" t="s">
        <v>937</v>
      </c>
      <c r="C1" s="725"/>
    </row>
    <row r="2" spans="1:3" ht="53.25" customHeight="1" x14ac:dyDescent="0.25">
      <c r="C2" s="206" t="s">
        <v>588</v>
      </c>
    </row>
    <row r="3" spans="1:3" x14ac:dyDescent="0.25">
      <c r="B3" s="101"/>
      <c r="C3" s="57" t="s">
        <v>1127</v>
      </c>
    </row>
    <row r="4" spans="1:3" ht="15.6" x14ac:dyDescent="0.3">
      <c r="B4" s="8"/>
      <c r="C4" s="8"/>
    </row>
    <row r="5" spans="1:3" x14ac:dyDescent="0.25">
      <c r="A5" s="726" t="s">
        <v>181</v>
      </c>
      <c r="B5" s="726"/>
      <c r="C5" s="726"/>
    </row>
    <row r="6" spans="1:3" ht="15.75" customHeight="1" x14ac:dyDescent="0.25">
      <c r="A6" s="659" t="s">
        <v>1128</v>
      </c>
      <c r="B6" s="659"/>
      <c r="C6" s="659"/>
    </row>
    <row r="7" spans="1:3" x14ac:dyDescent="0.25">
      <c r="A7" s="659"/>
      <c r="B7" s="659"/>
      <c r="C7" s="659"/>
    </row>
    <row r="8" spans="1:3" ht="15.6" x14ac:dyDescent="0.3">
      <c r="B8" s="8"/>
      <c r="C8" s="8"/>
    </row>
    <row r="9" spans="1:3" x14ac:dyDescent="0.25">
      <c r="A9" s="87" t="s">
        <v>182</v>
      </c>
      <c r="B9" s="88" t="s">
        <v>135</v>
      </c>
      <c r="C9" s="9" t="s">
        <v>183</v>
      </c>
    </row>
    <row r="10" spans="1:3" ht="63" x14ac:dyDescent="0.25">
      <c r="A10" s="49">
        <v>1</v>
      </c>
      <c r="B10" s="50" t="s">
        <v>932</v>
      </c>
      <c r="C10" s="137">
        <f>2107.8</f>
        <v>2107.8000000000002</v>
      </c>
    </row>
    <row r="11" spans="1:3" ht="78.75" x14ac:dyDescent="0.25">
      <c r="A11" s="49">
        <v>2</v>
      </c>
      <c r="B11" s="50" t="s">
        <v>96</v>
      </c>
      <c r="C11" s="137">
        <v>8117</v>
      </c>
    </row>
    <row r="12" spans="1:3" x14ac:dyDescent="0.25">
      <c r="A12" s="52"/>
      <c r="B12" s="53" t="s">
        <v>184</v>
      </c>
      <c r="C12" s="138">
        <f>SUM(C10:C11)</f>
        <v>10224.799999999999</v>
      </c>
    </row>
  </sheetData>
  <mergeCells count="3">
    <mergeCell ref="B1:C1"/>
    <mergeCell ref="A5:C5"/>
    <mergeCell ref="A6:C7"/>
  </mergeCells>
  <pageMargins left="0.70866141732283472" right="0.39370078740157483" top="0.55118110236220474" bottom="0.43307086614173229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C23"/>
  <sheetViews>
    <sheetView view="pageBreakPreview" zoomScaleNormal="100" zoomScaleSheetLayoutView="100" workbookViewId="0">
      <selection activeCell="B11" sqref="B11"/>
    </sheetView>
  </sheetViews>
  <sheetFormatPr defaultColWidth="9.140625" defaultRowHeight="12.75" x14ac:dyDescent="0.2"/>
  <cols>
    <col min="1" max="1" width="119.85546875" style="104" customWidth="1"/>
    <col min="2" max="2" width="18.42578125" style="109" customWidth="1"/>
    <col min="3" max="16384" width="9.140625" style="104"/>
  </cols>
  <sheetData>
    <row r="1" spans="1:3" ht="18.75" x14ac:dyDescent="0.3">
      <c r="A1" s="731" t="s">
        <v>202</v>
      </c>
      <c r="B1" s="731"/>
    </row>
    <row r="2" spans="1:3" ht="18.75" x14ac:dyDescent="0.3">
      <c r="A2" s="731" t="s">
        <v>1</v>
      </c>
      <c r="B2" s="731"/>
    </row>
    <row r="3" spans="1:3" ht="18.75" x14ac:dyDescent="0.3">
      <c r="A3" s="731" t="s">
        <v>180</v>
      </c>
      <c r="B3" s="731"/>
    </row>
    <row r="4" spans="1:3" ht="18.75" x14ac:dyDescent="0.3">
      <c r="A4" s="732" t="s">
        <v>1129</v>
      </c>
      <c r="B4" s="732"/>
      <c r="C4" s="105"/>
    </row>
    <row r="5" spans="1:3" ht="18" x14ac:dyDescent="0.35">
      <c r="A5" s="103"/>
      <c r="B5" s="207"/>
    </row>
    <row r="6" spans="1:3" ht="18.75" x14ac:dyDescent="0.3">
      <c r="A6" s="733" t="s">
        <v>866</v>
      </c>
      <c r="B6" s="733"/>
    </row>
    <row r="7" spans="1:3" ht="18.75" x14ac:dyDescent="0.3">
      <c r="A7" s="734" t="s">
        <v>1130</v>
      </c>
      <c r="B7" s="734"/>
    </row>
    <row r="8" spans="1:3" ht="18" x14ac:dyDescent="0.35">
      <c r="A8" s="103"/>
      <c r="B8" s="207"/>
    </row>
    <row r="9" spans="1:3" s="106" customFormat="1" ht="37.5" customHeight="1" x14ac:dyDescent="0.25">
      <c r="A9" s="727" t="s">
        <v>867</v>
      </c>
      <c r="B9" s="729" t="s">
        <v>868</v>
      </c>
    </row>
    <row r="10" spans="1:3" s="106" customFormat="1" ht="18.75" x14ac:dyDescent="0.25">
      <c r="A10" s="728"/>
      <c r="B10" s="730"/>
    </row>
    <row r="11" spans="1:3" ht="18.75" x14ac:dyDescent="0.2">
      <c r="A11" s="208" t="s">
        <v>869</v>
      </c>
      <c r="B11" s="209">
        <f>B12+B18+B15+B19</f>
        <v>10668.99</v>
      </c>
    </row>
    <row r="12" spans="1:3" ht="45.75" customHeight="1" x14ac:dyDescent="0.2">
      <c r="A12" s="208" t="s">
        <v>870</v>
      </c>
      <c r="B12" s="209">
        <f>B13-B14</f>
        <v>8000</v>
      </c>
    </row>
    <row r="13" spans="1:3" ht="36" hidden="1" x14ac:dyDescent="0.25">
      <c r="A13" s="210" t="s">
        <v>871</v>
      </c>
      <c r="B13" s="136">
        <f>17500+8000</f>
        <v>25500</v>
      </c>
    </row>
    <row r="14" spans="1:3" ht="36" hidden="1" x14ac:dyDescent="0.25">
      <c r="A14" s="210" t="s">
        <v>872</v>
      </c>
      <c r="B14" s="136">
        <v>17500</v>
      </c>
    </row>
    <row r="15" spans="1:3" s="107" customFormat="1" ht="69.75" customHeight="1" x14ac:dyDescent="0.2">
      <c r="A15" s="211" t="s">
        <v>779</v>
      </c>
      <c r="B15" s="136">
        <f>B16-B17</f>
        <v>0</v>
      </c>
      <c r="C15" s="108"/>
    </row>
    <row r="16" spans="1:3" s="107" customFormat="1" ht="33.6" hidden="1" x14ac:dyDescent="0.25">
      <c r="A16" s="212" t="s">
        <v>873</v>
      </c>
      <c r="B16" s="136">
        <v>10000</v>
      </c>
      <c r="C16" s="108"/>
    </row>
    <row r="17" spans="1:3" s="107" customFormat="1" ht="33.6" hidden="1" x14ac:dyDescent="0.25">
      <c r="A17" s="212" t="s">
        <v>874</v>
      </c>
      <c r="B17" s="136">
        <v>10000</v>
      </c>
      <c r="C17" s="108"/>
    </row>
    <row r="18" spans="1:3" ht="37.5" x14ac:dyDescent="0.2">
      <c r="A18" s="208" t="s">
        <v>780</v>
      </c>
      <c r="B18" s="209">
        <f>1000+1668.99</f>
        <v>2668.99</v>
      </c>
    </row>
    <row r="19" spans="1:3" ht="18.75" x14ac:dyDescent="0.2">
      <c r="A19" s="208" t="s">
        <v>875</v>
      </c>
      <c r="B19" s="209">
        <f>B20</f>
        <v>0</v>
      </c>
    </row>
    <row r="20" spans="1:3" ht="18.75" x14ac:dyDescent="0.2">
      <c r="A20" s="208" t="s">
        <v>775</v>
      </c>
      <c r="B20" s="209"/>
    </row>
    <row r="21" spans="1:3" ht="81.75" customHeight="1" x14ac:dyDescent="0.2">
      <c r="A21" s="210" t="s">
        <v>876</v>
      </c>
      <c r="B21" s="136">
        <f>B22-B23</f>
        <v>0</v>
      </c>
    </row>
    <row r="22" spans="1:3" ht="36" hidden="1" x14ac:dyDescent="0.25">
      <c r="A22" s="210" t="s">
        <v>877</v>
      </c>
      <c r="B22" s="136">
        <v>2000</v>
      </c>
    </row>
    <row r="23" spans="1:3" ht="36" hidden="1" x14ac:dyDescent="0.25">
      <c r="A23" s="210" t="s">
        <v>878</v>
      </c>
      <c r="B23" s="136">
        <v>2000</v>
      </c>
    </row>
  </sheetData>
  <mergeCells count="8">
    <mergeCell ref="A9:A10"/>
    <mergeCell ref="B9:B10"/>
    <mergeCell ref="A1:B1"/>
    <mergeCell ref="A2:B2"/>
    <mergeCell ref="A3:B3"/>
    <mergeCell ref="A4:B4"/>
    <mergeCell ref="A6:B6"/>
    <mergeCell ref="A7:B7"/>
  </mergeCells>
  <pageMargins left="0.70866141732283472" right="0.39370078740157483" top="0.55118110236220474" bottom="0.43307086614173229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2"/>
  <sheetViews>
    <sheetView tabSelected="1" view="pageBreakPreview" zoomScale="130" zoomScaleNormal="100" zoomScaleSheetLayoutView="130" workbookViewId="0">
      <selection activeCell="C3" sqref="C3:D3"/>
    </sheetView>
  </sheetViews>
  <sheetFormatPr defaultColWidth="9.140625" defaultRowHeight="15.75" x14ac:dyDescent="0.25"/>
  <cols>
    <col min="1" max="1" width="8.140625" style="259" customWidth="1"/>
    <col min="2" max="2" width="39" style="259" customWidth="1"/>
    <col min="3" max="3" width="21.140625" style="259" customWidth="1"/>
    <col min="4" max="4" width="23.85546875" style="259" customWidth="1"/>
    <col min="5" max="5" width="16.42578125" style="259" hidden="1" customWidth="1"/>
    <col min="6" max="6" width="19.140625" style="259" hidden="1" customWidth="1"/>
    <col min="7" max="8" width="9.140625" style="259" hidden="1" customWidth="1"/>
    <col min="9" max="16384" width="9.140625" style="259"/>
  </cols>
  <sheetData>
    <row r="1" spans="1:8" x14ac:dyDescent="0.25">
      <c r="A1" s="43"/>
      <c r="B1" s="44"/>
      <c r="D1" s="63" t="s">
        <v>1138</v>
      </c>
    </row>
    <row r="2" spans="1:8" x14ac:dyDescent="0.25">
      <c r="A2" s="45"/>
      <c r="B2" s="44"/>
      <c r="C2" s="739" t="s">
        <v>589</v>
      </c>
      <c r="D2" s="739"/>
    </row>
    <row r="3" spans="1:8" x14ac:dyDescent="0.25">
      <c r="A3" s="45"/>
      <c r="B3" s="44"/>
      <c r="C3" s="739" t="s">
        <v>1273</v>
      </c>
      <c r="D3" s="739"/>
    </row>
    <row r="4" spans="1:8" ht="15.6" x14ac:dyDescent="0.3">
      <c r="A4" s="46"/>
      <c r="B4" s="47"/>
      <c r="C4" s="46"/>
      <c r="D4" s="46"/>
    </row>
    <row r="5" spans="1:8" x14ac:dyDescent="0.25">
      <c r="A5" s="659" t="s">
        <v>134</v>
      </c>
      <c r="B5" s="659"/>
      <c r="C5" s="659"/>
      <c r="D5" s="659"/>
    </row>
    <row r="6" spans="1:8" ht="30.75" customHeight="1" x14ac:dyDescent="0.25">
      <c r="A6" s="659" t="s">
        <v>1131</v>
      </c>
      <c r="B6" s="659"/>
      <c r="C6" s="659"/>
      <c r="D6" s="659"/>
    </row>
    <row r="7" spans="1:8" ht="15.6" x14ac:dyDescent="0.3">
      <c r="A7" s="46"/>
      <c r="B7" s="46"/>
      <c r="C7" s="46"/>
      <c r="D7" s="86"/>
    </row>
    <row r="8" spans="1:8" x14ac:dyDescent="0.25">
      <c r="A8" s="66" t="s">
        <v>182</v>
      </c>
      <c r="B8" s="740" t="s">
        <v>185</v>
      </c>
      <c r="C8" s="741"/>
      <c r="D8" s="9" t="s">
        <v>183</v>
      </c>
      <c r="E8" s="9" t="s">
        <v>1160</v>
      </c>
      <c r="F8" s="9" t="s">
        <v>1189</v>
      </c>
      <c r="G8" s="9" t="s">
        <v>1242</v>
      </c>
      <c r="H8" s="9" t="s">
        <v>1248</v>
      </c>
    </row>
    <row r="9" spans="1:8" x14ac:dyDescent="0.25">
      <c r="A9" s="64">
        <v>1</v>
      </c>
      <c r="B9" s="735" t="s">
        <v>362</v>
      </c>
      <c r="C9" s="736"/>
      <c r="D9" s="139">
        <f>5916.3+E9+F9</f>
        <v>6520.6</v>
      </c>
      <c r="E9" s="65">
        <f>586.3+18</f>
        <v>604.29999999999995</v>
      </c>
      <c r="F9" s="65"/>
      <c r="G9" s="617"/>
      <c r="H9" s="617"/>
    </row>
    <row r="10" spans="1:8" x14ac:dyDescent="0.25">
      <c r="A10" s="64">
        <v>2</v>
      </c>
      <c r="B10" s="735" t="s">
        <v>186</v>
      </c>
      <c r="C10" s="736"/>
      <c r="D10" s="139">
        <f>8433.4+E10+F10+G10</f>
        <v>9387.7999999999993</v>
      </c>
      <c r="E10" s="65">
        <f>103+821.4</f>
        <v>924.4</v>
      </c>
      <c r="F10" s="65"/>
      <c r="G10" s="65">
        <v>30</v>
      </c>
      <c r="H10" s="65"/>
    </row>
    <row r="11" spans="1:8" ht="15.75" customHeight="1" x14ac:dyDescent="0.25">
      <c r="A11" s="64">
        <v>3</v>
      </c>
      <c r="B11" s="735" t="s">
        <v>187</v>
      </c>
      <c r="C11" s="736"/>
      <c r="D11" s="139">
        <f>2281.7+E11+F11</f>
        <v>2298.3999999999996</v>
      </c>
      <c r="E11" s="65">
        <v>6.7</v>
      </c>
      <c r="F11" s="65">
        <v>10</v>
      </c>
      <c r="G11" s="617"/>
      <c r="H11" s="617"/>
    </row>
    <row r="12" spans="1:8" x14ac:dyDescent="0.25">
      <c r="A12" s="64">
        <v>4</v>
      </c>
      <c r="B12" s="735" t="s">
        <v>196</v>
      </c>
      <c r="C12" s="736"/>
      <c r="D12" s="139">
        <f>752.6+E12+F12</f>
        <v>766.4</v>
      </c>
      <c r="E12" s="65">
        <v>13.8</v>
      </c>
      <c r="F12" s="65"/>
      <c r="G12" s="617"/>
      <c r="H12" s="617"/>
    </row>
    <row r="13" spans="1:8" x14ac:dyDescent="0.25">
      <c r="A13" s="64">
        <v>5</v>
      </c>
      <c r="B13" s="735" t="s">
        <v>188</v>
      </c>
      <c r="C13" s="736" t="s">
        <v>188</v>
      </c>
      <c r="D13" s="139">
        <f>2387.7+E13+F13</f>
        <v>2485.2999999999997</v>
      </c>
      <c r="E13" s="65">
        <v>97.6</v>
      </c>
      <c r="F13" s="65"/>
      <c r="G13" s="617"/>
      <c r="H13" s="617"/>
    </row>
    <row r="14" spans="1:8" x14ac:dyDescent="0.25">
      <c r="A14" s="64">
        <v>6</v>
      </c>
      <c r="B14" s="735" t="s">
        <v>189</v>
      </c>
      <c r="C14" s="736" t="s">
        <v>189</v>
      </c>
      <c r="D14" s="139">
        <f>3163.8+E14+F14</f>
        <v>3269.1000000000004</v>
      </c>
      <c r="E14" s="65">
        <v>105.3</v>
      </c>
      <c r="F14" s="65"/>
      <c r="G14" s="617"/>
      <c r="H14" s="617"/>
    </row>
    <row r="15" spans="1:8" x14ac:dyDescent="0.25">
      <c r="A15" s="64">
        <v>7</v>
      </c>
      <c r="B15" s="735" t="s">
        <v>190</v>
      </c>
      <c r="C15" s="736" t="s">
        <v>190</v>
      </c>
      <c r="D15" s="139">
        <f>4706.5+E15+F15+H15</f>
        <v>4896.3999999999996</v>
      </c>
      <c r="E15" s="65">
        <v>159.9</v>
      </c>
      <c r="F15" s="65"/>
      <c r="G15" s="617"/>
      <c r="H15" s="617">
        <v>30</v>
      </c>
    </row>
    <row r="16" spans="1:8" x14ac:dyDescent="0.25">
      <c r="A16" s="64">
        <v>8</v>
      </c>
      <c r="B16" s="735" t="s">
        <v>355</v>
      </c>
      <c r="C16" s="736" t="s">
        <v>355</v>
      </c>
      <c r="D16" s="139">
        <f>601.2+E16+F16</f>
        <v>614.6</v>
      </c>
      <c r="E16" s="65">
        <v>13.4</v>
      </c>
      <c r="F16" s="65"/>
      <c r="G16" s="617"/>
      <c r="H16" s="617"/>
    </row>
    <row r="17" spans="1:8" x14ac:dyDescent="0.25">
      <c r="A17" s="64">
        <v>9</v>
      </c>
      <c r="B17" s="735" t="s">
        <v>191</v>
      </c>
      <c r="C17" s="736" t="s">
        <v>191</v>
      </c>
      <c r="D17" s="139">
        <f>1169.2+E17+F17+H17</f>
        <v>1722.9</v>
      </c>
      <c r="E17" s="65">
        <v>13.7</v>
      </c>
      <c r="F17" s="65">
        <v>200</v>
      </c>
      <c r="G17" s="617"/>
      <c r="H17" s="617">
        <v>340</v>
      </c>
    </row>
    <row r="18" spans="1:8" ht="15.75" customHeight="1" x14ac:dyDescent="0.25">
      <c r="A18" s="64">
        <v>10</v>
      </c>
      <c r="B18" s="735" t="s">
        <v>192</v>
      </c>
      <c r="C18" s="736" t="s">
        <v>192</v>
      </c>
      <c r="D18" s="139">
        <f>3697.2+E18+F18</f>
        <v>3800.8999999999996</v>
      </c>
      <c r="E18" s="65">
        <v>103.7</v>
      </c>
      <c r="F18" s="65"/>
      <c r="G18" s="617"/>
      <c r="H18" s="617"/>
    </row>
    <row r="19" spans="1:8" ht="15.75" customHeight="1" x14ac:dyDescent="0.25">
      <c r="A19" s="64">
        <v>11</v>
      </c>
      <c r="B19" s="735" t="s">
        <v>197</v>
      </c>
      <c r="C19" s="736" t="s">
        <v>197</v>
      </c>
      <c r="D19" s="139">
        <f>3496.2+E19+F19</f>
        <v>3712</v>
      </c>
      <c r="E19" s="65">
        <f>118.6+97.2</f>
        <v>215.8</v>
      </c>
      <c r="F19" s="65"/>
      <c r="G19" s="617"/>
      <c r="H19" s="617"/>
    </row>
    <row r="20" spans="1:8" x14ac:dyDescent="0.25">
      <c r="A20" s="64">
        <v>12</v>
      </c>
      <c r="B20" s="735" t="s">
        <v>193</v>
      </c>
      <c r="C20" s="736" t="s">
        <v>193</v>
      </c>
      <c r="D20" s="139">
        <f>3140.8+E20+F20</f>
        <v>3248</v>
      </c>
      <c r="E20" s="65">
        <v>97.2</v>
      </c>
      <c r="F20" s="65">
        <v>10</v>
      </c>
      <c r="G20" s="617"/>
      <c r="H20" s="617"/>
    </row>
    <row r="21" spans="1:8" x14ac:dyDescent="0.25">
      <c r="A21" s="64">
        <v>13</v>
      </c>
      <c r="B21" s="735" t="s">
        <v>194</v>
      </c>
      <c r="C21" s="736" t="s">
        <v>194</v>
      </c>
      <c r="D21" s="139">
        <f>777.9+E21+F21</f>
        <v>792.6</v>
      </c>
      <c r="E21" s="65">
        <v>14.7</v>
      </c>
      <c r="F21" s="65"/>
      <c r="G21" s="617"/>
      <c r="H21" s="617"/>
    </row>
    <row r="22" spans="1:8" x14ac:dyDescent="0.25">
      <c r="A22" s="64"/>
      <c r="B22" s="737" t="s">
        <v>195</v>
      </c>
      <c r="C22" s="738"/>
      <c r="D22" s="140">
        <f>SUM(D9:D21)</f>
        <v>43515</v>
      </c>
      <c r="E22" s="140">
        <f t="shared" ref="E22:H22" si="0">SUM(E9:E21)</f>
        <v>2370.4999999999995</v>
      </c>
      <c r="F22" s="140">
        <f t="shared" si="0"/>
        <v>220</v>
      </c>
      <c r="G22" s="140">
        <f t="shared" si="0"/>
        <v>30</v>
      </c>
      <c r="H22" s="140">
        <f t="shared" si="0"/>
        <v>370</v>
      </c>
    </row>
  </sheetData>
  <autoFilter ref="A8:F22">
    <filterColumn colId="1" showButton="0"/>
  </autoFilter>
  <mergeCells count="19">
    <mergeCell ref="C2:D2"/>
    <mergeCell ref="C3:D3"/>
    <mergeCell ref="A5:D5"/>
    <mergeCell ref="A6:D6"/>
    <mergeCell ref="B8:C8"/>
    <mergeCell ref="B9:C9"/>
    <mergeCell ref="B10:C10"/>
    <mergeCell ref="B11:C11"/>
    <mergeCell ref="B12:C12"/>
    <mergeCell ref="B13:C13"/>
    <mergeCell ref="B14:C14"/>
    <mergeCell ref="B15:C15"/>
    <mergeCell ref="B22:C22"/>
    <mergeCell ref="B16:C16"/>
    <mergeCell ref="B17:C17"/>
    <mergeCell ref="B18:C18"/>
    <mergeCell ref="B19:C19"/>
    <mergeCell ref="B20:C20"/>
    <mergeCell ref="B21:C21"/>
  </mergeCells>
  <pageMargins left="0.70866141732283472" right="0.39370078740157483" top="0.55118110236220474" bottom="0.43307086614173229" header="0.31496062992125984" footer="0.31496062992125984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53"/>
  <sheetViews>
    <sheetView view="pageBreakPreview" zoomScale="80" zoomScaleNormal="90" zoomScaleSheetLayoutView="80" workbookViewId="0">
      <selection activeCell="E152" sqref="E152"/>
    </sheetView>
  </sheetViews>
  <sheetFormatPr defaultRowHeight="15" outlineLevelRow="2" x14ac:dyDescent="0.25"/>
  <cols>
    <col min="1" max="1" width="66.5703125" style="112" customWidth="1"/>
    <col min="2" max="2" width="7.85546875" style="111" customWidth="1"/>
    <col min="3" max="3" width="17" style="111" customWidth="1"/>
    <col min="4" max="4" width="7.42578125" style="111" customWidth="1"/>
    <col min="5" max="5" width="13.7109375" style="111" customWidth="1"/>
    <col min="6" max="6" width="6" style="111" customWidth="1"/>
    <col min="7" max="7" width="21" style="225" customWidth="1"/>
    <col min="8" max="8" width="17.28515625" style="225" customWidth="1"/>
    <col min="9" max="9" width="21" style="225" customWidth="1"/>
    <col min="10" max="10" width="20.5703125" style="225" customWidth="1"/>
    <col min="11" max="11" width="19.42578125" customWidth="1"/>
    <col min="12" max="12" width="19" customWidth="1"/>
    <col min="13" max="13" width="0" hidden="1" customWidth="1"/>
  </cols>
  <sheetData>
    <row r="1" spans="1:12" ht="15.75" x14ac:dyDescent="0.25">
      <c r="A1" s="23"/>
      <c r="B1" s="24"/>
      <c r="C1" s="8"/>
      <c r="D1" s="8"/>
      <c r="E1" s="58"/>
      <c r="G1" s="8"/>
      <c r="H1" s="224" t="s">
        <v>198</v>
      </c>
      <c r="I1" s="453"/>
      <c r="L1" s="224" t="s">
        <v>198</v>
      </c>
    </row>
    <row r="2" spans="1:12" ht="15.75" x14ac:dyDescent="0.25">
      <c r="A2" s="25"/>
      <c r="B2" s="26"/>
      <c r="C2" s="8"/>
      <c r="D2" s="25"/>
      <c r="E2" s="349"/>
      <c r="G2" s="25"/>
      <c r="H2" s="224" t="s">
        <v>1</v>
      </c>
      <c r="I2" s="453"/>
      <c r="L2" s="224" t="s">
        <v>1</v>
      </c>
    </row>
    <row r="3" spans="1:12" ht="15.75" x14ac:dyDescent="0.25">
      <c r="A3" s="25"/>
      <c r="B3" s="26"/>
      <c r="C3" s="8"/>
      <c r="D3" s="385"/>
      <c r="E3" s="389"/>
      <c r="G3" s="385"/>
      <c r="H3" s="224" t="s">
        <v>2</v>
      </c>
      <c r="I3" s="453"/>
      <c r="L3" s="224" t="s">
        <v>2</v>
      </c>
    </row>
    <row r="4" spans="1:12" ht="15.75" x14ac:dyDescent="0.25">
      <c r="A4" s="25"/>
      <c r="B4" s="26"/>
      <c r="C4" s="8"/>
      <c r="D4" s="385"/>
      <c r="E4" s="389"/>
      <c r="G4" s="385"/>
      <c r="H4" s="224" t="s">
        <v>1020</v>
      </c>
      <c r="I4" s="453"/>
      <c r="L4" s="505" t="s">
        <v>1210</v>
      </c>
    </row>
    <row r="5" spans="1:12" ht="15.6" x14ac:dyDescent="0.3">
      <c r="A5" s="25"/>
      <c r="B5" s="26"/>
      <c r="D5" s="385"/>
      <c r="E5" s="389"/>
      <c r="F5" s="385"/>
    </row>
    <row r="6" spans="1:12" ht="35.25" customHeight="1" x14ac:dyDescent="0.25">
      <c r="A6" s="659" t="s">
        <v>1021</v>
      </c>
      <c r="B6" s="659"/>
      <c r="C6" s="659"/>
      <c r="D6" s="659"/>
      <c r="E6" s="659"/>
      <c r="F6" s="659"/>
      <c r="G6" s="742"/>
      <c r="H6" s="742"/>
      <c r="I6" s="742"/>
      <c r="J6" s="742"/>
    </row>
    <row r="7" spans="1:12" ht="15.75" x14ac:dyDescent="0.25">
      <c r="A7" s="213"/>
      <c r="J7" s="226" t="s">
        <v>880</v>
      </c>
    </row>
    <row r="8" spans="1:12" ht="31.5" x14ac:dyDescent="0.25">
      <c r="A8" s="9" t="s">
        <v>227</v>
      </c>
      <c r="B8" s="663" t="s">
        <v>4</v>
      </c>
      <c r="C8" s="664"/>
      <c r="D8" s="664"/>
      <c r="E8" s="665"/>
      <c r="F8" s="384" t="s">
        <v>508</v>
      </c>
      <c r="G8" s="144" t="s">
        <v>933</v>
      </c>
      <c r="H8" s="144" t="s">
        <v>1187</v>
      </c>
      <c r="I8" s="72" t="s">
        <v>933</v>
      </c>
      <c r="J8" s="144" t="s">
        <v>1022</v>
      </c>
      <c r="K8" s="144" t="s">
        <v>1187</v>
      </c>
      <c r="L8" s="87" t="s">
        <v>1120</v>
      </c>
    </row>
    <row r="9" spans="1:12" ht="15.6" x14ac:dyDescent="0.3">
      <c r="A9" s="10">
        <v>1</v>
      </c>
      <c r="B9" s="743" t="s">
        <v>136</v>
      </c>
      <c r="C9" s="744"/>
      <c r="D9" s="744"/>
      <c r="E9" s="745"/>
      <c r="F9" s="388"/>
      <c r="G9" s="147">
        <v>3</v>
      </c>
      <c r="H9" s="147"/>
      <c r="I9" s="454"/>
      <c r="J9" s="147">
        <v>4</v>
      </c>
      <c r="K9" s="445"/>
      <c r="L9" s="445"/>
    </row>
    <row r="10" spans="1:12" ht="15.75" x14ac:dyDescent="0.25">
      <c r="A10" s="175" t="s">
        <v>719</v>
      </c>
      <c r="B10" s="386" t="s">
        <v>9</v>
      </c>
      <c r="C10" s="387" t="s">
        <v>764</v>
      </c>
      <c r="D10" s="387" t="s">
        <v>137</v>
      </c>
      <c r="E10" s="388" t="s">
        <v>9</v>
      </c>
      <c r="F10" s="388"/>
      <c r="G10" s="507">
        <f>G11+G120</f>
        <v>845394.43999999983</v>
      </c>
      <c r="H10" s="507"/>
      <c r="I10" s="455">
        <f>G10+H10</f>
        <v>845394.43999999983</v>
      </c>
      <c r="J10" s="366">
        <f>J11+J120</f>
        <v>636085.82999999996</v>
      </c>
      <c r="K10" s="506"/>
      <c r="L10" s="452">
        <f>J10+K10</f>
        <v>636085.82999999996</v>
      </c>
    </row>
    <row r="11" spans="1:12" s="114" customFormat="1" ht="15.75" x14ac:dyDescent="0.25">
      <c r="A11" s="14" t="s">
        <v>230</v>
      </c>
      <c r="B11" s="27" t="s">
        <v>9</v>
      </c>
      <c r="C11" s="27" t="s">
        <v>231</v>
      </c>
      <c r="D11" s="27" t="s">
        <v>137</v>
      </c>
      <c r="E11" s="27" t="s">
        <v>9</v>
      </c>
      <c r="F11" s="27"/>
      <c r="G11" s="509">
        <f>G12+G32+G42+G45+G48+G69+G75+G89+G104+G18+G117</f>
        <v>129277.2</v>
      </c>
      <c r="H11" s="509"/>
      <c r="I11" s="455">
        <f t="shared" ref="I11:I74" si="0">G11+H11</f>
        <v>129277.2</v>
      </c>
      <c r="J11" s="375">
        <f>J12+J32+J42+J45+J48+J69+J75+J89+J104+J18+J117</f>
        <v>131955.85999999999</v>
      </c>
      <c r="K11" s="538"/>
      <c r="L11" s="452">
        <f t="shared" ref="L11:L74" si="1">J11+K11</f>
        <v>131955.85999999999</v>
      </c>
    </row>
    <row r="12" spans="1:12" s="114" customFormat="1" ht="15.75" x14ac:dyDescent="0.25">
      <c r="A12" s="14" t="s">
        <v>232</v>
      </c>
      <c r="B12" s="27" t="s">
        <v>9</v>
      </c>
      <c r="C12" s="27" t="s">
        <v>233</v>
      </c>
      <c r="D12" s="27" t="s">
        <v>137</v>
      </c>
      <c r="E12" s="27" t="s">
        <v>9</v>
      </c>
      <c r="F12" s="27"/>
      <c r="G12" s="509">
        <f>G13</f>
        <v>30408.799999999999</v>
      </c>
      <c r="H12" s="509"/>
      <c r="I12" s="455">
        <f t="shared" si="0"/>
        <v>30408.799999999999</v>
      </c>
      <c r="J12" s="375">
        <f>J13</f>
        <v>31746.329999999998</v>
      </c>
      <c r="K12" s="538"/>
      <c r="L12" s="452">
        <f t="shared" si="1"/>
        <v>31746.329999999998</v>
      </c>
    </row>
    <row r="13" spans="1:12" s="114" customFormat="1" ht="15.75" x14ac:dyDescent="0.25">
      <c r="A13" s="14" t="s">
        <v>234</v>
      </c>
      <c r="B13" s="27" t="s">
        <v>9</v>
      </c>
      <c r="C13" s="27" t="s">
        <v>235</v>
      </c>
      <c r="D13" s="27" t="s">
        <v>137</v>
      </c>
      <c r="E13" s="27" t="s">
        <v>236</v>
      </c>
      <c r="F13" s="27"/>
      <c r="G13" s="509">
        <f>G14+G15+G16+G17</f>
        <v>30408.799999999999</v>
      </c>
      <c r="H13" s="509"/>
      <c r="I13" s="455">
        <f t="shared" si="0"/>
        <v>30408.799999999999</v>
      </c>
      <c r="J13" s="375">
        <f>J14+J15+J16+J17</f>
        <v>31746.329999999998</v>
      </c>
      <c r="K13" s="538"/>
      <c r="L13" s="452">
        <f t="shared" si="1"/>
        <v>31746.329999999998</v>
      </c>
    </row>
    <row r="14" spans="1:12" ht="78.75" x14ac:dyDescent="0.25">
      <c r="A14" s="19" t="s">
        <v>237</v>
      </c>
      <c r="B14" s="381" t="s">
        <v>238</v>
      </c>
      <c r="C14" s="381" t="s">
        <v>239</v>
      </c>
      <c r="D14" s="381" t="s">
        <v>137</v>
      </c>
      <c r="E14" s="381" t="s">
        <v>236</v>
      </c>
      <c r="F14" s="381"/>
      <c r="G14" s="510">
        <v>30053.7</v>
      </c>
      <c r="H14" s="510"/>
      <c r="I14" s="455">
        <f t="shared" si="0"/>
        <v>30053.7</v>
      </c>
      <c r="J14" s="369">
        <v>31376.01</v>
      </c>
      <c r="K14" s="506"/>
      <c r="L14" s="451">
        <f t="shared" si="1"/>
        <v>31376.01</v>
      </c>
    </row>
    <row r="15" spans="1:12" ht="110.25" x14ac:dyDescent="0.25">
      <c r="A15" s="19" t="s">
        <v>470</v>
      </c>
      <c r="B15" s="381" t="s">
        <v>238</v>
      </c>
      <c r="C15" s="381" t="s">
        <v>240</v>
      </c>
      <c r="D15" s="381" t="s">
        <v>137</v>
      </c>
      <c r="E15" s="381" t="s">
        <v>236</v>
      </c>
      <c r="F15" s="381"/>
      <c r="G15" s="510">
        <v>40.799999999999997</v>
      </c>
      <c r="H15" s="510"/>
      <c r="I15" s="455">
        <f t="shared" si="0"/>
        <v>40.799999999999997</v>
      </c>
      <c r="J15" s="369">
        <v>42.22</v>
      </c>
      <c r="K15" s="506"/>
      <c r="L15" s="451">
        <f t="shared" si="1"/>
        <v>42.22</v>
      </c>
    </row>
    <row r="16" spans="1:12" ht="47.25" x14ac:dyDescent="0.25">
      <c r="A16" s="19" t="s">
        <v>241</v>
      </c>
      <c r="B16" s="381" t="s">
        <v>238</v>
      </c>
      <c r="C16" s="381" t="s">
        <v>242</v>
      </c>
      <c r="D16" s="381" t="s">
        <v>137</v>
      </c>
      <c r="E16" s="381" t="s">
        <v>236</v>
      </c>
      <c r="F16" s="381"/>
      <c r="G16" s="510">
        <v>314.3</v>
      </c>
      <c r="H16" s="510"/>
      <c r="I16" s="455">
        <f t="shared" si="0"/>
        <v>314.3</v>
      </c>
      <c r="J16" s="369">
        <v>328.1</v>
      </c>
      <c r="K16" s="506"/>
      <c r="L16" s="451">
        <f t="shared" si="1"/>
        <v>328.1</v>
      </c>
    </row>
    <row r="17" spans="1:12" ht="93.6" hidden="1" x14ac:dyDescent="0.3">
      <c r="A17" s="19" t="s">
        <v>243</v>
      </c>
      <c r="B17" s="381" t="s">
        <v>238</v>
      </c>
      <c r="C17" s="381" t="s">
        <v>244</v>
      </c>
      <c r="D17" s="381" t="s">
        <v>137</v>
      </c>
      <c r="E17" s="381" t="s">
        <v>236</v>
      </c>
      <c r="F17" s="381"/>
      <c r="G17" s="511">
        <v>0</v>
      </c>
      <c r="H17" s="511"/>
      <c r="I17" s="455">
        <f t="shared" si="0"/>
        <v>0</v>
      </c>
      <c r="J17" s="155">
        <v>0</v>
      </c>
      <c r="K17" s="506"/>
      <c r="L17" s="451">
        <f t="shared" si="1"/>
        <v>0</v>
      </c>
    </row>
    <row r="18" spans="1:12" s="114" customFormat="1" ht="48" customHeight="1" x14ac:dyDescent="0.25">
      <c r="A18" s="14" t="s">
        <v>245</v>
      </c>
      <c r="B18" s="27" t="s">
        <v>9</v>
      </c>
      <c r="C18" s="27" t="s">
        <v>246</v>
      </c>
      <c r="D18" s="27" t="s">
        <v>137</v>
      </c>
      <c r="E18" s="27" t="s">
        <v>9</v>
      </c>
      <c r="F18" s="27"/>
      <c r="G18" s="509">
        <f>G19</f>
        <v>3765.7999999999993</v>
      </c>
      <c r="H18" s="509"/>
      <c r="I18" s="455">
        <f t="shared" si="0"/>
        <v>3765.7999999999993</v>
      </c>
      <c r="J18" s="375">
        <f>J19</f>
        <v>3974.6000000000004</v>
      </c>
      <c r="K18" s="538"/>
      <c r="L18" s="452">
        <f t="shared" si="1"/>
        <v>3974.6000000000004</v>
      </c>
    </row>
    <row r="19" spans="1:12" s="114" customFormat="1" ht="31.5" x14ac:dyDescent="0.25">
      <c r="A19" s="14" t="s">
        <v>247</v>
      </c>
      <c r="B19" s="27" t="s">
        <v>9</v>
      </c>
      <c r="C19" s="27" t="s">
        <v>248</v>
      </c>
      <c r="D19" s="27" t="s">
        <v>137</v>
      </c>
      <c r="E19" s="27" t="s">
        <v>236</v>
      </c>
      <c r="F19" s="27"/>
      <c r="G19" s="509">
        <f>G20+G23+G26+G29</f>
        <v>3765.7999999999993</v>
      </c>
      <c r="H19" s="509"/>
      <c r="I19" s="455">
        <f t="shared" si="0"/>
        <v>3765.7999999999993</v>
      </c>
      <c r="J19" s="375">
        <f>J20+J23+J26+J29</f>
        <v>3974.6000000000004</v>
      </c>
      <c r="K19" s="538"/>
      <c r="L19" s="452">
        <f t="shared" si="1"/>
        <v>3974.6000000000004</v>
      </c>
    </row>
    <row r="20" spans="1:12" ht="76.5" customHeight="1" x14ac:dyDescent="0.25">
      <c r="A20" s="19" t="s">
        <v>249</v>
      </c>
      <c r="B20" s="381" t="s">
        <v>238</v>
      </c>
      <c r="C20" s="381" t="s">
        <v>250</v>
      </c>
      <c r="D20" s="381" t="s">
        <v>137</v>
      </c>
      <c r="E20" s="381" t="s">
        <v>236</v>
      </c>
      <c r="F20" s="381"/>
      <c r="G20" s="510">
        <f>G21+G22</f>
        <v>1796.6</v>
      </c>
      <c r="H20" s="510"/>
      <c r="I20" s="455">
        <f t="shared" si="0"/>
        <v>1796.6</v>
      </c>
      <c r="J20" s="369">
        <f>J21+J22</f>
        <v>1900.8</v>
      </c>
      <c r="K20" s="506"/>
      <c r="L20" s="451">
        <f t="shared" si="1"/>
        <v>1900.8</v>
      </c>
    </row>
    <row r="21" spans="1:12" ht="72" hidden="1" customHeight="1" x14ac:dyDescent="0.3">
      <c r="A21" s="237" t="s">
        <v>721</v>
      </c>
      <c r="B21" s="38" t="s">
        <v>113</v>
      </c>
      <c r="C21" s="38" t="s">
        <v>765</v>
      </c>
      <c r="D21" s="38" t="s">
        <v>137</v>
      </c>
      <c r="E21" s="38" t="s">
        <v>236</v>
      </c>
      <c r="F21" s="381"/>
      <c r="G21" s="512"/>
      <c r="H21" s="512"/>
      <c r="I21" s="455">
        <f t="shared" si="0"/>
        <v>0</v>
      </c>
      <c r="J21" s="367">
        <v>0</v>
      </c>
      <c r="K21" s="506"/>
      <c r="L21" s="451">
        <f t="shared" si="1"/>
        <v>0</v>
      </c>
    </row>
    <row r="22" spans="1:12" ht="72" hidden="1" customHeight="1" x14ac:dyDescent="0.3">
      <c r="A22" s="237" t="s">
        <v>721</v>
      </c>
      <c r="B22" s="38" t="s">
        <v>238</v>
      </c>
      <c r="C22" s="38" t="s">
        <v>765</v>
      </c>
      <c r="D22" s="38" t="s">
        <v>137</v>
      </c>
      <c r="E22" s="38" t="s">
        <v>236</v>
      </c>
      <c r="F22" s="381"/>
      <c r="G22" s="512">
        <v>1796.6</v>
      </c>
      <c r="H22" s="512"/>
      <c r="I22" s="455">
        <f t="shared" si="0"/>
        <v>1796.6</v>
      </c>
      <c r="J22" s="367">
        <v>1900.8</v>
      </c>
      <c r="K22" s="506"/>
      <c r="L22" s="451">
        <f t="shared" si="1"/>
        <v>1900.8</v>
      </c>
    </row>
    <row r="23" spans="1:12" ht="93" customHeight="1" x14ac:dyDescent="0.25">
      <c r="A23" s="19" t="s">
        <v>251</v>
      </c>
      <c r="B23" s="381" t="s">
        <v>238</v>
      </c>
      <c r="C23" s="381" t="s">
        <v>252</v>
      </c>
      <c r="D23" s="381" t="s">
        <v>137</v>
      </c>
      <c r="E23" s="381" t="s">
        <v>236</v>
      </c>
      <c r="F23" s="381"/>
      <c r="G23" s="510">
        <f>G24+G25</f>
        <v>12.3</v>
      </c>
      <c r="H23" s="510"/>
      <c r="I23" s="455">
        <f t="shared" si="0"/>
        <v>12.3</v>
      </c>
      <c r="J23" s="369">
        <f>J24+J25</f>
        <v>12.7</v>
      </c>
      <c r="K23" s="506"/>
      <c r="L23" s="451">
        <f t="shared" si="1"/>
        <v>12.7</v>
      </c>
    </row>
    <row r="24" spans="1:12" ht="73.5" hidden="1" customHeight="1" x14ac:dyDescent="0.3">
      <c r="A24" s="237" t="s">
        <v>723</v>
      </c>
      <c r="B24" s="38" t="s">
        <v>113</v>
      </c>
      <c r="C24" s="38" t="s">
        <v>766</v>
      </c>
      <c r="D24" s="38" t="s">
        <v>137</v>
      </c>
      <c r="E24" s="38" t="s">
        <v>236</v>
      </c>
      <c r="F24" s="381"/>
      <c r="G24" s="512">
        <v>0</v>
      </c>
      <c r="H24" s="512"/>
      <c r="I24" s="455">
        <f t="shared" si="0"/>
        <v>0</v>
      </c>
      <c r="J24" s="367">
        <v>0</v>
      </c>
      <c r="K24" s="506"/>
      <c r="L24" s="451">
        <f t="shared" si="1"/>
        <v>0</v>
      </c>
    </row>
    <row r="25" spans="1:12" ht="73.5" hidden="1" customHeight="1" x14ac:dyDescent="0.3">
      <c r="A25" s="237" t="s">
        <v>723</v>
      </c>
      <c r="B25" s="38" t="s">
        <v>238</v>
      </c>
      <c r="C25" s="38" t="s">
        <v>766</v>
      </c>
      <c r="D25" s="38" t="s">
        <v>137</v>
      </c>
      <c r="E25" s="38" t="s">
        <v>236</v>
      </c>
      <c r="F25" s="381"/>
      <c r="G25" s="512">
        <v>12.3</v>
      </c>
      <c r="H25" s="512"/>
      <c r="I25" s="455">
        <f t="shared" si="0"/>
        <v>12.3</v>
      </c>
      <c r="J25" s="367">
        <v>12.7</v>
      </c>
      <c r="K25" s="506"/>
      <c r="L25" s="451">
        <f t="shared" si="1"/>
        <v>12.7</v>
      </c>
    </row>
    <row r="26" spans="1:12" ht="94.5" customHeight="1" x14ac:dyDescent="0.25">
      <c r="A26" s="19" t="s">
        <v>514</v>
      </c>
      <c r="B26" s="381" t="s">
        <v>238</v>
      </c>
      <c r="C26" s="381" t="s">
        <v>253</v>
      </c>
      <c r="D26" s="381" t="s">
        <v>137</v>
      </c>
      <c r="E26" s="381" t="s">
        <v>236</v>
      </c>
      <c r="F26" s="381"/>
      <c r="G26" s="510">
        <f>G27+G28</f>
        <v>2192.1999999999998</v>
      </c>
      <c r="H26" s="510"/>
      <c r="I26" s="455">
        <f t="shared" si="0"/>
        <v>2192.1999999999998</v>
      </c>
      <c r="J26" s="369">
        <f>J27+J28</f>
        <v>2295.1</v>
      </c>
      <c r="K26" s="506"/>
      <c r="L26" s="451">
        <f t="shared" si="1"/>
        <v>2295.1</v>
      </c>
    </row>
    <row r="27" spans="1:12" ht="74.25" hidden="1" customHeight="1" x14ac:dyDescent="0.3">
      <c r="A27" s="237" t="s">
        <v>725</v>
      </c>
      <c r="B27" s="38" t="s">
        <v>113</v>
      </c>
      <c r="C27" s="38" t="s">
        <v>767</v>
      </c>
      <c r="D27" s="38" t="s">
        <v>137</v>
      </c>
      <c r="E27" s="38" t="s">
        <v>236</v>
      </c>
      <c r="F27" s="381"/>
      <c r="G27" s="512">
        <v>0</v>
      </c>
      <c r="H27" s="512"/>
      <c r="I27" s="455">
        <f t="shared" si="0"/>
        <v>0</v>
      </c>
      <c r="J27" s="367">
        <v>0</v>
      </c>
      <c r="K27" s="506"/>
      <c r="L27" s="451">
        <f t="shared" si="1"/>
        <v>0</v>
      </c>
    </row>
    <row r="28" spans="1:12" ht="74.25" hidden="1" customHeight="1" x14ac:dyDescent="0.3">
      <c r="A28" s="237" t="s">
        <v>725</v>
      </c>
      <c r="B28" s="38" t="s">
        <v>238</v>
      </c>
      <c r="C28" s="38" t="s">
        <v>767</v>
      </c>
      <c r="D28" s="38" t="s">
        <v>137</v>
      </c>
      <c r="E28" s="38" t="s">
        <v>236</v>
      </c>
      <c r="F28" s="381"/>
      <c r="G28" s="512">
        <v>2192.1999999999998</v>
      </c>
      <c r="H28" s="512"/>
      <c r="I28" s="455">
        <f t="shared" si="0"/>
        <v>2192.1999999999998</v>
      </c>
      <c r="J28" s="367">
        <v>2295.1</v>
      </c>
      <c r="K28" s="506"/>
      <c r="L28" s="451">
        <f t="shared" si="1"/>
        <v>2295.1</v>
      </c>
    </row>
    <row r="29" spans="1:12" ht="63" customHeight="1" x14ac:dyDescent="0.25">
      <c r="A29" s="200" t="s">
        <v>661</v>
      </c>
      <c r="B29" s="381" t="s">
        <v>238</v>
      </c>
      <c r="C29" s="201" t="s">
        <v>662</v>
      </c>
      <c r="D29" s="381" t="s">
        <v>137</v>
      </c>
      <c r="E29" s="381" t="s">
        <v>236</v>
      </c>
      <c r="F29" s="381"/>
      <c r="G29" s="510">
        <f>G30+G31</f>
        <v>-235.3</v>
      </c>
      <c r="H29" s="510"/>
      <c r="I29" s="455">
        <f t="shared" si="0"/>
        <v>-235.3</v>
      </c>
      <c r="J29" s="369">
        <f>J30+J31</f>
        <v>-234</v>
      </c>
      <c r="K29" s="506"/>
      <c r="L29" s="451">
        <f t="shared" si="1"/>
        <v>-234</v>
      </c>
    </row>
    <row r="30" spans="1:12" ht="73.5" hidden="1" customHeight="1" x14ac:dyDescent="0.3">
      <c r="A30" s="239" t="s">
        <v>727</v>
      </c>
      <c r="B30" s="38" t="s">
        <v>113</v>
      </c>
      <c r="C30" s="243" t="s">
        <v>768</v>
      </c>
      <c r="D30" s="38" t="s">
        <v>137</v>
      </c>
      <c r="E30" s="38" t="s">
        <v>236</v>
      </c>
      <c r="F30" s="381"/>
      <c r="G30" s="512">
        <v>0</v>
      </c>
      <c r="H30" s="512"/>
      <c r="I30" s="455">
        <f t="shared" si="0"/>
        <v>0</v>
      </c>
      <c r="J30" s="367">
        <v>0</v>
      </c>
      <c r="K30" s="506"/>
      <c r="L30" s="451">
        <f t="shared" si="1"/>
        <v>0</v>
      </c>
    </row>
    <row r="31" spans="1:12" ht="73.5" hidden="1" customHeight="1" x14ac:dyDescent="0.3">
      <c r="A31" s="239" t="s">
        <v>727</v>
      </c>
      <c r="B31" s="38" t="s">
        <v>238</v>
      </c>
      <c r="C31" s="243" t="s">
        <v>768</v>
      </c>
      <c r="D31" s="38" t="s">
        <v>137</v>
      </c>
      <c r="E31" s="38" t="s">
        <v>236</v>
      </c>
      <c r="F31" s="381"/>
      <c r="G31" s="512">
        <v>-235.3</v>
      </c>
      <c r="H31" s="512"/>
      <c r="I31" s="455">
        <f t="shared" si="0"/>
        <v>-235.3</v>
      </c>
      <c r="J31" s="367">
        <v>-234</v>
      </c>
      <c r="K31" s="506"/>
      <c r="L31" s="451">
        <f t="shared" si="1"/>
        <v>-234</v>
      </c>
    </row>
    <row r="32" spans="1:12" s="114" customFormat="1" ht="15.75" x14ac:dyDescent="0.25">
      <c r="A32" s="14" t="s">
        <v>254</v>
      </c>
      <c r="B32" s="27" t="s">
        <v>9</v>
      </c>
      <c r="C32" s="27" t="s">
        <v>255</v>
      </c>
      <c r="D32" s="27" t="s">
        <v>137</v>
      </c>
      <c r="E32" s="27" t="s">
        <v>9</v>
      </c>
      <c r="F32" s="27"/>
      <c r="G32" s="509">
        <f>G33+G38+G40</f>
        <v>40558.5</v>
      </c>
      <c r="H32" s="509"/>
      <c r="I32" s="455">
        <f t="shared" si="0"/>
        <v>40558.5</v>
      </c>
      <c r="J32" s="375">
        <f>J33+J38+J40</f>
        <v>42342.83</v>
      </c>
      <c r="K32" s="538"/>
      <c r="L32" s="452">
        <f t="shared" si="1"/>
        <v>42342.83</v>
      </c>
    </row>
    <row r="33" spans="1:12" s="114" customFormat="1" ht="31.5" x14ac:dyDescent="0.25">
      <c r="A33" s="14" t="s">
        <v>256</v>
      </c>
      <c r="B33" s="27" t="s">
        <v>9</v>
      </c>
      <c r="C33" s="27" t="s">
        <v>257</v>
      </c>
      <c r="D33" s="27" t="s">
        <v>137</v>
      </c>
      <c r="E33" s="27" t="s">
        <v>236</v>
      </c>
      <c r="F33" s="27"/>
      <c r="G33" s="509">
        <f>G34+G36</f>
        <v>37589.699999999997</v>
      </c>
      <c r="H33" s="509"/>
      <c r="I33" s="455">
        <f t="shared" si="0"/>
        <v>37589.699999999997</v>
      </c>
      <c r="J33" s="375">
        <f>J34+J36</f>
        <v>39243.599999999999</v>
      </c>
      <c r="K33" s="538"/>
      <c r="L33" s="452">
        <f t="shared" si="1"/>
        <v>39243.599999999999</v>
      </c>
    </row>
    <row r="34" spans="1:12" s="115" customFormat="1" ht="31.5" x14ac:dyDescent="0.25">
      <c r="A34" s="19" t="s">
        <v>258</v>
      </c>
      <c r="B34" s="381" t="s">
        <v>238</v>
      </c>
      <c r="C34" s="381" t="s">
        <v>357</v>
      </c>
      <c r="D34" s="381" t="s">
        <v>137</v>
      </c>
      <c r="E34" s="381" t="s">
        <v>236</v>
      </c>
      <c r="F34" s="381"/>
      <c r="G34" s="513">
        <f>G35</f>
        <v>24433.8</v>
      </c>
      <c r="H34" s="513"/>
      <c r="I34" s="455">
        <f t="shared" si="0"/>
        <v>24433.8</v>
      </c>
      <c r="J34" s="371">
        <f>J35</f>
        <v>25508.89</v>
      </c>
      <c r="K34" s="539"/>
      <c r="L34" s="451">
        <f t="shared" si="1"/>
        <v>25508.89</v>
      </c>
    </row>
    <row r="35" spans="1:12" ht="30.75" hidden="1" customHeight="1" x14ac:dyDescent="0.3">
      <c r="A35" s="37" t="s">
        <v>258</v>
      </c>
      <c r="B35" s="38" t="s">
        <v>238</v>
      </c>
      <c r="C35" s="38" t="s">
        <v>259</v>
      </c>
      <c r="D35" s="38" t="s">
        <v>137</v>
      </c>
      <c r="E35" s="38" t="s">
        <v>236</v>
      </c>
      <c r="F35" s="381"/>
      <c r="G35" s="512">
        <v>24433.8</v>
      </c>
      <c r="H35" s="512"/>
      <c r="I35" s="455">
        <f t="shared" si="0"/>
        <v>24433.8</v>
      </c>
      <c r="J35" s="367">
        <v>25508.89</v>
      </c>
      <c r="K35" s="506"/>
      <c r="L35" s="451">
        <f t="shared" si="1"/>
        <v>25508.89</v>
      </c>
    </row>
    <row r="36" spans="1:12" s="115" customFormat="1" ht="47.25" x14ac:dyDescent="0.25">
      <c r="A36" s="19" t="s">
        <v>260</v>
      </c>
      <c r="B36" s="381" t="s">
        <v>238</v>
      </c>
      <c r="C36" s="381" t="s">
        <v>358</v>
      </c>
      <c r="D36" s="381" t="s">
        <v>137</v>
      </c>
      <c r="E36" s="381" t="s">
        <v>236</v>
      </c>
      <c r="F36" s="381"/>
      <c r="G36" s="513">
        <f>G37</f>
        <v>13155.9</v>
      </c>
      <c r="H36" s="513"/>
      <c r="I36" s="455">
        <f t="shared" si="0"/>
        <v>13155.9</v>
      </c>
      <c r="J36" s="371">
        <f>J37</f>
        <v>13734.71</v>
      </c>
      <c r="K36" s="539"/>
      <c r="L36" s="451">
        <f t="shared" si="1"/>
        <v>13734.71</v>
      </c>
    </row>
    <row r="37" spans="1:12" ht="36" hidden="1" customHeight="1" x14ac:dyDescent="0.3">
      <c r="A37" s="37" t="s">
        <v>260</v>
      </c>
      <c r="B37" s="38" t="s">
        <v>238</v>
      </c>
      <c r="C37" s="38" t="s">
        <v>261</v>
      </c>
      <c r="D37" s="38" t="s">
        <v>137</v>
      </c>
      <c r="E37" s="38" t="s">
        <v>236</v>
      </c>
      <c r="F37" s="381"/>
      <c r="G37" s="512">
        <v>13155.9</v>
      </c>
      <c r="H37" s="512"/>
      <c r="I37" s="455">
        <f t="shared" si="0"/>
        <v>13155.9</v>
      </c>
      <c r="J37" s="367">
        <v>13734.71</v>
      </c>
      <c r="K37" s="506"/>
      <c r="L37" s="451">
        <f t="shared" si="1"/>
        <v>13734.71</v>
      </c>
    </row>
    <row r="38" spans="1:12" s="114" customFormat="1" ht="15.75" x14ac:dyDescent="0.25">
      <c r="A38" s="14" t="s">
        <v>262</v>
      </c>
      <c r="B38" s="27" t="s">
        <v>9</v>
      </c>
      <c r="C38" s="27" t="s">
        <v>263</v>
      </c>
      <c r="D38" s="27" t="s">
        <v>137</v>
      </c>
      <c r="E38" s="27" t="s">
        <v>236</v>
      </c>
      <c r="F38" s="27"/>
      <c r="G38" s="509">
        <f>G39</f>
        <v>86.5</v>
      </c>
      <c r="H38" s="509"/>
      <c r="I38" s="455">
        <f t="shared" si="0"/>
        <v>86.5</v>
      </c>
      <c r="J38" s="375">
        <f>J39</f>
        <v>90.15</v>
      </c>
      <c r="K38" s="538"/>
      <c r="L38" s="452">
        <f t="shared" si="1"/>
        <v>90.15</v>
      </c>
    </row>
    <row r="39" spans="1:12" ht="15.75" x14ac:dyDescent="0.25">
      <c r="A39" s="19" t="s">
        <v>262</v>
      </c>
      <c r="B39" s="381" t="s">
        <v>238</v>
      </c>
      <c r="C39" s="381" t="s">
        <v>264</v>
      </c>
      <c r="D39" s="381" t="s">
        <v>137</v>
      </c>
      <c r="E39" s="381" t="s">
        <v>236</v>
      </c>
      <c r="F39" s="381"/>
      <c r="G39" s="510">
        <v>86.5</v>
      </c>
      <c r="H39" s="510"/>
      <c r="I39" s="455">
        <f t="shared" si="0"/>
        <v>86.5</v>
      </c>
      <c r="J39" s="369">
        <v>90.15</v>
      </c>
      <c r="K39" s="506"/>
      <c r="L39" s="451">
        <f t="shared" si="1"/>
        <v>90.15</v>
      </c>
    </row>
    <row r="40" spans="1:12" s="114" customFormat="1" ht="31.5" x14ac:dyDescent="0.25">
      <c r="A40" s="14" t="s">
        <v>265</v>
      </c>
      <c r="B40" s="27" t="s">
        <v>9</v>
      </c>
      <c r="C40" s="27" t="s">
        <v>266</v>
      </c>
      <c r="D40" s="27" t="s">
        <v>137</v>
      </c>
      <c r="E40" s="27" t="s">
        <v>236</v>
      </c>
      <c r="F40" s="27"/>
      <c r="G40" s="509">
        <f>G41</f>
        <v>2882.3</v>
      </c>
      <c r="H40" s="509"/>
      <c r="I40" s="455">
        <f t="shared" si="0"/>
        <v>2882.3</v>
      </c>
      <c r="J40" s="375">
        <f>J41</f>
        <v>3009.08</v>
      </c>
      <c r="K40" s="538"/>
      <c r="L40" s="452">
        <f t="shared" si="1"/>
        <v>3009.08</v>
      </c>
    </row>
    <row r="41" spans="1:12" ht="45" customHeight="1" x14ac:dyDescent="0.25">
      <c r="A41" s="19" t="s">
        <v>267</v>
      </c>
      <c r="B41" s="381" t="s">
        <v>238</v>
      </c>
      <c r="C41" s="381" t="s">
        <v>268</v>
      </c>
      <c r="D41" s="381" t="s">
        <v>137</v>
      </c>
      <c r="E41" s="381" t="s">
        <v>236</v>
      </c>
      <c r="F41" s="381"/>
      <c r="G41" s="510">
        <v>2882.3</v>
      </c>
      <c r="H41" s="510"/>
      <c r="I41" s="455">
        <f t="shared" si="0"/>
        <v>2882.3</v>
      </c>
      <c r="J41" s="369">
        <v>3009.08</v>
      </c>
      <c r="K41" s="506"/>
      <c r="L41" s="451">
        <f t="shared" si="1"/>
        <v>3009.08</v>
      </c>
    </row>
    <row r="42" spans="1:12" s="114" customFormat="1" ht="15.75" x14ac:dyDescent="0.25">
      <c r="A42" s="14" t="s">
        <v>269</v>
      </c>
      <c r="B42" s="27" t="s">
        <v>9</v>
      </c>
      <c r="C42" s="27" t="s">
        <v>270</v>
      </c>
      <c r="D42" s="27" t="s">
        <v>137</v>
      </c>
      <c r="E42" s="27" t="s">
        <v>9</v>
      </c>
      <c r="F42" s="27"/>
      <c r="G42" s="509">
        <f>G43</f>
        <v>16840.5</v>
      </c>
      <c r="H42" s="509"/>
      <c r="I42" s="455">
        <f t="shared" si="0"/>
        <v>16840.5</v>
      </c>
      <c r="J42" s="375">
        <f>J43</f>
        <v>15998.5</v>
      </c>
      <c r="K42" s="538"/>
      <c r="L42" s="452">
        <f t="shared" si="1"/>
        <v>15998.5</v>
      </c>
    </row>
    <row r="43" spans="1:12" ht="15.75" x14ac:dyDescent="0.25">
      <c r="A43" s="14" t="s">
        <v>271</v>
      </c>
      <c r="B43" s="27" t="s">
        <v>9</v>
      </c>
      <c r="C43" s="27" t="s">
        <v>272</v>
      </c>
      <c r="D43" s="27" t="s">
        <v>137</v>
      </c>
      <c r="E43" s="27" t="s">
        <v>236</v>
      </c>
      <c r="F43" s="27"/>
      <c r="G43" s="509">
        <f>G44</f>
        <v>16840.5</v>
      </c>
      <c r="H43" s="509"/>
      <c r="I43" s="455">
        <f t="shared" si="0"/>
        <v>16840.5</v>
      </c>
      <c r="J43" s="375">
        <f>J44</f>
        <v>15998.5</v>
      </c>
      <c r="K43" s="506"/>
      <c r="L43" s="452">
        <f t="shared" si="1"/>
        <v>15998.5</v>
      </c>
    </row>
    <row r="44" spans="1:12" ht="31.5" x14ac:dyDescent="0.25">
      <c r="A44" s="19" t="s">
        <v>273</v>
      </c>
      <c r="B44" s="381" t="s">
        <v>238</v>
      </c>
      <c r="C44" s="381" t="s">
        <v>274</v>
      </c>
      <c r="D44" s="381" t="s">
        <v>137</v>
      </c>
      <c r="E44" s="381" t="s">
        <v>236</v>
      </c>
      <c r="F44" s="381"/>
      <c r="G44" s="510">
        <v>16840.5</v>
      </c>
      <c r="H44" s="510"/>
      <c r="I44" s="455">
        <f t="shared" si="0"/>
        <v>16840.5</v>
      </c>
      <c r="J44" s="369">
        <v>15998.5</v>
      </c>
      <c r="K44" s="506"/>
      <c r="L44" s="451">
        <f t="shared" si="1"/>
        <v>15998.5</v>
      </c>
    </row>
    <row r="45" spans="1:12" s="114" customFormat="1" ht="15.75" x14ac:dyDescent="0.25">
      <c r="A45" s="14" t="s">
        <v>275</v>
      </c>
      <c r="B45" s="27" t="s">
        <v>9</v>
      </c>
      <c r="C45" s="27" t="s">
        <v>276</v>
      </c>
      <c r="D45" s="27" t="s">
        <v>137</v>
      </c>
      <c r="E45" s="27" t="s">
        <v>9</v>
      </c>
      <c r="F45" s="27"/>
      <c r="G45" s="509">
        <f>G46</f>
        <v>1380</v>
      </c>
      <c r="H45" s="509"/>
      <c r="I45" s="455">
        <f t="shared" si="0"/>
        <v>1380</v>
      </c>
      <c r="J45" s="375">
        <f>J46</f>
        <v>1380</v>
      </c>
      <c r="K45" s="538"/>
      <c r="L45" s="452">
        <f t="shared" si="1"/>
        <v>1380</v>
      </c>
    </row>
    <row r="46" spans="1:12" s="114" customFormat="1" ht="31.5" x14ac:dyDescent="0.25">
      <c r="A46" s="14" t="s">
        <v>277</v>
      </c>
      <c r="B46" s="27" t="s">
        <v>9</v>
      </c>
      <c r="C46" s="27" t="s">
        <v>278</v>
      </c>
      <c r="D46" s="27" t="s">
        <v>137</v>
      </c>
      <c r="E46" s="27" t="s">
        <v>236</v>
      </c>
      <c r="F46" s="27"/>
      <c r="G46" s="509">
        <f>G47</f>
        <v>1380</v>
      </c>
      <c r="H46" s="509"/>
      <c r="I46" s="455">
        <f t="shared" si="0"/>
        <v>1380</v>
      </c>
      <c r="J46" s="375">
        <f>J47</f>
        <v>1380</v>
      </c>
      <c r="K46" s="538"/>
      <c r="L46" s="452">
        <f t="shared" si="1"/>
        <v>1380</v>
      </c>
    </row>
    <row r="47" spans="1:12" ht="47.25" x14ac:dyDescent="0.25">
      <c r="A47" s="19" t="s">
        <v>279</v>
      </c>
      <c r="B47" s="381" t="s">
        <v>238</v>
      </c>
      <c r="C47" s="381" t="s">
        <v>280</v>
      </c>
      <c r="D47" s="381" t="s">
        <v>137</v>
      </c>
      <c r="E47" s="381" t="s">
        <v>236</v>
      </c>
      <c r="F47" s="381"/>
      <c r="G47" s="510">
        <v>1380</v>
      </c>
      <c r="H47" s="510"/>
      <c r="I47" s="455">
        <f t="shared" si="0"/>
        <v>1380</v>
      </c>
      <c r="J47" s="369">
        <v>1380</v>
      </c>
      <c r="K47" s="506"/>
      <c r="L47" s="451">
        <f t="shared" si="1"/>
        <v>1380</v>
      </c>
    </row>
    <row r="48" spans="1:12" s="114" customFormat="1" ht="47.25" x14ac:dyDescent="0.25">
      <c r="A48" s="14" t="s">
        <v>223</v>
      </c>
      <c r="B48" s="27" t="s">
        <v>9</v>
      </c>
      <c r="C48" s="27" t="s">
        <v>281</v>
      </c>
      <c r="D48" s="27" t="s">
        <v>137</v>
      </c>
      <c r="E48" s="27" t="s">
        <v>9</v>
      </c>
      <c r="F48" s="27"/>
      <c r="G48" s="509">
        <f>G49+G65</f>
        <v>9095.5</v>
      </c>
      <c r="H48" s="509"/>
      <c r="I48" s="455">
        <f t="shared" si="0"/>
        <v>9095.5</v>
      </c>
      <c r="J48" s="375">
        <f>J49+J65</f>
        <v>9095.5</v>
      </c>
      <c r="K48" s="538"/>
      <c r="L48" s="452">
        <f t="shared" si="1"/>
        <v>9095.5</v>
      </c>
    </row>
    <row r="49" spans="1:12" s="114" customFormat="1" ht="94.5" x14ac:dyDescent="0.25">
      <c r="A49" s="14" t="s">
        <v>283</v>
      </c>
      <c r="B49" s="27" t="s">
        <v>9</v>
      </c>
      <c r="C49" s="27" t="s">
        <v>284</v>
      </c>
      <c r="D49" s="27" t="s">
        <v>137</v>
      </c>
      <c r="E49" s="27" t="s">
        <v>282</v>
      </c>
      <c r="F49" s="27"/>
      <c r="G49" s="509">
        <f>G50+G59+G56+G62</f>
        <v>9045.5</v>
      </c>
      <c r="H49" s="509"/>
      <c r="I49" s="455">
        <f t="shared" si="0"/>
        <v>9045.5</v>
      </c>
      <c r="J49" s="375">
        <f>J50+J59+J56+J62</f>
        <v>9045.5</v>
      </c>
      <c r="K49" s="538"/>
      <c r="L49" s="452">
        <f t="shared" si="1"/>
        <v>9045.5</v>
      </c>
    </row>
    <row r="50" spans="1:12" s="115" customFormat="1" ht="63" x14ac:dyDescent="0.25">
      <c r="A50" s="19" t="s">
        <v>285</v>
      </c>
      <c r="B50" s="381" t="s">
        <v>76</v>
      </c>
      <c r="C50" s="381" t="s">
        <v>286</v>
      </c>
      <c r="D50" s="381" t="s">
        <v>137</v>
      </c>
      <c r="E50" s="381" t="s">
        <v>282</v>
      </c>
      <c r="F50" s="381"/>
      <c r="G50" s="513">
        <f>G51+G53+G52+G54+G55</f>
        <v>3482.2</v>
      </c>
      <c r="H50" s="513"/>
      <c r="I50" s="455">
        <f t="shared" si="0"/>
        <v>3482.2</v>
      </c>
      <c r="J50" s="371">
        <f>J51+J53+J52+J54+J55</f>
        <v>3482.2</v>
      </c>
      <c r="K50" s="539"/>
      <c r="L50" s="451">
        <f t="shared" si="1"/>
        <v>3482.2</v>
      </c>
    </row>
    <row r="51" spans="1:12" ht="41.25" customHeight="1" outlineLevel="1" x14ac:dyDescent="0.25">
      <c r="A51" s="37" t="s">
        <v>903</v>
      </c>
      <c r="B51" s="38" t="s">
        <v>70</v>
      </c>
      <c r="C51" s="38" t="s">
        <v>666</v>
      </c>
      <c r="D51" s="38" t="s">
        <v>137</v>
      </c>
      <c r="E51" s="38" t="s">
        <v>282</v>
      </c>
      <c r="F51" s="381"/>
      <c r="G51" s="512"/>
      <c r="H51" s="512"/>
      <c r="I51" s="455">
        <f t="shared" si="0"/>
        <v>0</v>
      </c>
      <c r="J51" s="367"/>
      <c r="K51" s="506"/>
      <c r="L51" s="451">
        <f t="shared" si="1"/>
        <v>0</v>
      </c>
    </row>
    <row r="52" spans="1:12" ht="41.25" customHeight="1" outlineLevel="1" x14ac:dyDescent="0.25">
      <c r="A52" s="37" t="s">
        <v>903</v>
      </c>
      <c r="B52" s="38" t="s">
        <v>76</v>
      </c>
      <c r="C52" s="38" t="s">
        <v>666</v>
      </c>
      <c r="D52" s="38" t="s">
        <v>137</v>
      </c>
      <c r="E52" s="38" t="s">
        <v>282</v>
      </c>
      <c r="F52" s="381"/>
      <c r="G52" s="512">
        <v>2742.6</v>
      </c>
      <c r="H52" s="512"/>
      <c r="I52" s="455">
        <f t="shared" si="0"/>
        <v>2742.6</v>
      </c>
      <c r="J52" s="367">
        <v>2742.6</v>
      </c>
      <c r="K52" s="506"/>
      <c r="L52" s="451">
        <f t="shared" si="1"/>
        <v>2742.6</v>
      </c>
    </row>
    <row r="53" spans="1:12" ht="53.25" customHeight="1" outlineLevel="1" x14ac:dyDescent="0.25">
      <c r="A53" s="37" t="s">
        <v>904</v>
      </c>
      <c r="B53" s="38" t="s">
        <v>70</v>
      </c>
      <c r="C53" s="38" t="s">
        <v>471</v>
      </c>
      <c r="D53" s="38" t="s">
        <v>137</v>
      </c>
      <c r="E53" s="38" t="s">
        <v>282</v>
      </c>
      <c r="F53" s="381"/>
      <c r="G53" s="512">
        <v>0</v>
      </c>
      <c r="H53" s="512"/>
      <c r="I53" s="455">
        <f t="shared" si="0"/>
        <v>0</v>
      </c>
      <c r="J53" s="367">
        <v>0</v>
      </c>
      <c r="K53" s="506"/>
      <c r="L53" s="451">
        <f t="shared" si="1"/>
        <v>0</v>
      </c>
    </row>
    <row r="54" spans="1:12" ht="53.25" customHeight="1" outlineLevel="1" x14ac:dyDescent="0.25">
      <c r="A54" s="37" t="s">
        <v>904</v>
      </c>
      <c r="B54" s="38" t="s">
        <v>1158</v>
      </c>
      <c r="C54" s="38" t="s">
        <v>471</v>
      </c>
      <c r="D54" s="38" t="s">
        <v>137</v>
      </c>
      <c r="E54" s="38" t="s">
        <v>282</v>
      </c>
      <c r="F54" s="381"/>
      <c r="G54" s="512">
        <v>214.6</v>
      </c>
      <c r="H54" s="512"/>
      <c r="I54" s="455">
        <f t="shared" si="0"/>
        <v>214.6</v>
      </c>
      <c r="J54" s="367">
        <v>214.6</v>
      </c>
      <c r="K54" s="506"/>
      <c r="L54" s="451">
        <f t="shared" si="1"/>
        <v>214.6</v>
      </c>
    </row>
    <row r="55" spans="1:12" ht="53.25" customHeight="1" outlineLevel="1" x14ac:dyDescent="0.25">
      <c r="A55" s="37" t="s">
        <v>904</v>
      </c>
      <c r="B55" s="38" t="s">
        <v>1157</v>
      </c>
      <c r="C55" s="38" t="s">
        <v>471</v>
      </c>
      <c r="D55" s="38" t="s">
        <v>137</v>
      </c>
      <c r="E55" s="38" t="s">
        <v>282</v>
      </c>
      <c r="F55" s="381"/>
      <c r="G55" s="512">
        <v>525</v>
      </c>
      <c r="H55" s="512"/>
      <c r="I55" s="455">
        <f t="shared" si="0"/>
        <v>525</v>
      </c>
      <c r="J55" s="367">
        <v>525</v>
      </c>
      <c r="K55" s="506"/>
      <c r="L55" s="451">
        <f t="shared" si="1"/>
        <v>525</v>
      </c>
    </row>
    <row r="56" spans="1:12" ht="78.75" x14ac:dyDescent="0.25">
      <c r="A56" s="19" t="s">
        <v>359</v>
      </c>
      <c r="B56" s="381" t="s">
        <v>76</v>
      </c>
      <c r="C56" s="381" t="s">
        <v>360</v>
      </c>
      <c r="D56" s="381" t="s">
        <v>137</v>
      </c>
      <c r="E56" s="381" t="s">
        <v>282</v>
      </c>
      <c r="F56" s="381"/>
      <c r="G56" s="513">
        <f>G57+G58</f>
        <v>101.3</v>
      </c>
      <c r="H56" s="513"/>
      <c r="I56" s="455">
        <f t="shared" si="0"/>
        <v>101.3</v>
      </c>
      <c r="J56" s="371">
        <f>J57+J58</f>
        <v>101.3</v>
      </c>
      <c r="K56" s="506"/>
      <c r="L56" s="451">
        <f t="shared" si="1"/>
        <v>101.3</v>
      </c>
    </row>
    <row r="57" spans="1:12" ht="63" hidden="1" customHeight="1" x14ac:dyDescent="0.3">
      <c r="A57" s="37" t="s">
        <v>215</v>
      </c>
      <c r="B57" s="38" t="s">
        <v>70</v>
      </c>
      <c r="C57" s="38" t="s">
        <v>356</v>
      </c>
      <c r="D57" s="38" t="s">
        <v>137</v>
      </c>
      <c r="E57" s="38" t="s">
        <v>282</v>
      </c>
      <c r="F57" s="381"/>
      <c r="G57" s="512"/>
      <c r="H57" s="512"/>
      <c r="I57" s="455">
        <f t="shared" si="0"/>
        <v>0</v>
      </c>
      <c r="J57" s="367"/>
      <c r="K57" s="506"/>
      <c r="L57" s="451">
        <f t="shared" si="1"/>
        <v>0</v>
      </c>
    </row>
    <row r="58" spans="1:12" ht="63" hidden="1" customHeight="1" x14ac:dyDescent="0.3">
      <c r="A58" s="37" t="s">
        <v>215</v>
      </c>
      <c r="B58" s="38" t="s">
        <v>76</v>
      </c>
      <c r="C58" s="38" t="s">
        <v>356</v>
      </c>
      <c r="D58" s="38" t="s">
        <v>137</v>
      </c>
      <c r="E58" s="38" t="s">
        <v>282</v>
      </c>
      <c r="F58" s="381"/>
      <c r="G58" s="512">
        <v>101.3</v>
      </c>
      <c r="H58" s="512"/>
      <c r="I58" s="455">
        <f t="shared" si="0"/>
        <v>101.3</v>
      </c>
      <c r="J58" s="367">
        <v>101.3</v>
      </c>
      <c r="K58" s="506"/>
      <c r="L58" s="451">
        <f t="shared" si="1"/>
        <v>101.3</v>
      </c>
    </row>
    <row r="59" spans="1:12" s="115" customFormat="1" ht="79.5" customHeight="1" x14ac:dyDescent="0.25">
      <c r="A59" s="19" t="s">
        <v>287</v>
      </c>
      <c r="B59" s="381" t="s">
        <v>76</v>
      </c>
      <c r="C59" s="381" t="s">
        <v>288</v>
      </c>
      <c r="D59" s="381" t="s">
        <v>137</v>
      </c>
      <c r="E59" s="381" t="s">
        <v>282</v>
      </c>
      <c r="F59" s="381"/>
      <c r="G59" s="513">
        <f>G60+G61</f>
        <v>685</v>
      </c>
      <c r="H59" s="513"/>
      <c r="I59" s="455">
        <f t="shared" si="0"/>
        <v>685</v>
      </c>
      <c r="J59" s="371">
        <f>J60+J61</f>
        <v>685</v>
      </c>
      <c r="K59" s="539"/>
      <c r="L59" s="451">
        <f t="shared" si="1"/>
        <v>685</v>
      </c>
    </row>
    <row r="60" spans="1:12" ht="45" hidden="1" customHeight="1" x14ac:dyDescent="0.3">
      <c r="A60" s="37" t="s">
        <v>216</v>
      </c>
      <c r="B60" s="38" t="s">
        <v>70</v>
      </c>
      <c r="C60" s="38" t="s">
        <v>289</v>
      </c>
      <c r="D60" s="38" t="s">
        <v>137</v>
      </c>
      <c r="E60" s="38" t="s">
        <v>282</v>
      </c>
      <c r="F60" s="381"/>
      <c r="G60" s="512"/>
      <c r="H60" s="512"/>
      <c r="I60" s="455">
        <f t="shared" si="0"/>
        <v>0</v>
      </c>
      <c r="J60" s="367"/>
      <c r="K60" s="506"/>
      <c r="L60" s="451">
        <f t="shared" si="1"/>
        <v>0</v>
      </c>
    </row>
    <row r="61" spans="1:12" ht="45" hidden="1" customHeight="1" x14ac:dyDescent="0.3">
      <c r="A61" s="37" t="s">
        <v>216</v>
      </c>
      <c r="B61" s="38" t="s">
        <v>76</v>
      </c>
      <c r="C61" s="38" t="s">
        <v>289</v>
      </c>
      <c r="D61" s="38" t="s">
        <v>137</v>
      </c>
      <c r="E61" s="38" t="s">
        <v>282</v>
      </c>
      <c r="F61" s="381"/>
      <c r="G61" s="512">
        <v>685</v>
      </c>
      <c r="H61" s="512"/>
      <c r="I61" s="455">
        <f t="shared" si="0"/>
        <v>685</v>
      </c>
      <c r="J61" s="367">
        <v>685</v>
      </c>
      <c r="K61" s="506"/>
      <c r="L61" s="451">
        <f t="shared" si="1"/>
        <v>685</v>
      </c>
    </row>
    <row r="62" spans="1:12" ht="47.25" x14ac:dyDescent="0.25">
      <c r="A62" s="19" t="s">
        <v>290</v>
      </c>
      <c r="B62" s="381" t="s">
        <v>76</v>
      </c>
      <c r="C62" s="381" t="s">
        <v>291</v>
      </c>
      <c r="D62" s="381" t="s">
        <v>137</v>
      </c>
      <c r="E62" s="381" t="s">
        <v>282</v>
      </c>
      <c r="F62" s="381"/>
      <c r="G62" s="513">
        <f>G63+G64</f>
        <v>4777</v>
      </c>
      <c r="H62" s="513"/>
      <c r="I62" s="455">
        <f t="shared" si="0"/>
        <v>4777</v>
      </c>
      <c r="J62" s="371">
        <f>J63+J64</f>
        <v>4777</v>
      </c>
      <c r="K62" s="506"/>
      <c r="L62" s="451">
        <f t="shared" si="1"/>
        <v>4777</v>
      </c>
    </row>
    <row r="63" spans="1:12" s="116" customFormat="1" ht="30.75" hidden="1" customHeight="1" x14ac:dyDescent="0.3">
      <c r="A63" s="37" t="s">
        <v>292</v>
      </c>
      <c r="B63" s="38" t="s">
        <v>70</v>
      </c>
      <c r="C63" s="38" t="s">
        <v>293</v>
      </c>
      <c r="D63" s="38" t="s">
        <v>137</v>
      </c>
      <c r="E63" s="38" t="s">
        <v>282</v>
      </c>
      <c r="F63" s="381"/>
      <c r="G63" s="512"/>
      <c r="H63" s="512"/>
      <c r="I63" s="455">
        <f t="shared" si="0"/>
        <v>0</v>
      </c>
      <c r="J63" s="367"/>
      <c r="K63" s="540"/>
      <c r="L63" s="451">
        <f t="shared" si="1"/>
        <v>0</v>
      </c>
    </row>
    <row r="64" spans="1:12" s="116" customFormat="1" ht="30.75" hidden="1" customHeight="1" x14ac:dyDescent="0.3">
      <c r="A64" s="37" t="s">
        <v>292</v>
      </c>
      <c r="B64" s="38" t="s">
        <v>76</v>
      </c>
      <c r="C64" s="38" t="s">
        <v>293</v>
      </c>
      <c r="D64" s="38" t="s">
        <v>137</v>
      </c>
      <c r="E64" s="38" t="s">
        <v>282</v>
      </c>
      <c r="F64" s="381"/>
      <c r="G64" s="512">
        <v>4777</v>
      </c>
      <c r="H64" s="512"/>
      <c r="I64" s="455">
        <f t="shared" si="0"/>
        <v>4777</v>
      </c>
      <c r="J64" s="367">
        <v>4777</v>
      </c>
      <c r="K64" s="540"/>
      <c r="L64" s="451">
        <f t="shared" si="1"/>
        <v>4777</v>
      </c>
    </row>
    <row r="65" spans="1:12" s="116" customFormat="1" ht="33" customHeight="1" x14ac:dyDescent="0.25">
      <c r="A65" s="14" t="s">
        <v>921</v>
      </c>
      <c r="B65" s="27" t="s">
        <v>9</v>
      </c>
      <c r="C65" s="27" t="s">
        <v>919</v>
      </c>
      <c r="D65" s="27" t="s">
        <v>137</v>
      </c>
      <c r="E65" s="27" t="s">
        <v>282</v>
      </c>
      <c r="F65" s="381"/>
      <c r="G65" s="514">
        <f>G66</f>
        <v>50</v>
      </c>
      <c r="H65" s="514"/>
      <c r="I65" s="455">
        <f t="shared" si="0"/>
        <v>50</v>
      </c>
      <c r="J65" s="368">
        <f>J66</f>
        <v>50</v>
      </c>
      <c r="K65" s="540"/>
      <c r="L65" s="452">
        <f t="shared" si="1"/>
        <v>50</v>
      </c>
    </row>
    <row r="66" spans="1:12" s="116" customFormat="1" ht="51" customHeight="1" x14ac:dyDescent="0.25">
      <c r="A66" s="19" t="s">
        <v>922</v>
      </c>
      <c r="B66" s="381" t="s">
        <v>9</v>
      </c>
      <c r="C66" s="381" t="s">
        <v>920</v>
      </c>
      <c r="D66" s="381" t="s">
        <v>137</v>
      </c>
      <c r="E66" s="381" t="s">
        <v>282</v>
      </c>
      <c r="F66" s="381"/>
      <c r="G66" s="510">
        <f>G67+G68</f>
        <v>50</v>
      </c>
      <c r="H66" s="510"/>
      <c r="I66" s="455">
        <f t="shared" si="0"/>
        <v>50</v>
      </c>
      <c r="J66" s="369">
        <f>J67+J68</f>
        <v>50</v>
      </c>
      <c r="K66" s="540"/>
      <c r="L66" s="451">
        <f t="shared" si="1"/>
        <v>50</v>
      </c>
    </row>
    <row r="67" spans="1:12" s="116" customFormat="1" ht="33" hidden="1" customHeight="1" x14ac:dyDescent="0.3">
      <c r="A67" s="37" t="s">
        <v>217</v>
      </c>
      <c r="B67" s="38" t="s">
        <v>70</v>
      </c>
      <c r="C67" s="38" t="s">
        <v>918</v>
      </c>
      <c r="D67" s="38" t="s">
        <v>137</v>
      </c>
      <c r="E67" s="38" t="s">
        <v>282</v>
      </c>
      <c r="F67" s="381"/>
      <c r="G67" s="512"/>
      <c r="H67" s="512"/>
      <c r="I67" s="455">
        <f t="shared" si="0"/>
        <v>0</v>
      </c>
      <c r="J67" s="367"/>
      <c r="K67" s="540"/>
      <c r="L67" s="451">
        <f t="shared" si="1"/>
        <v>0</v>
      </c>
    </row>
    <row r="68" spans="1:12" s="116" customFormat="1" ht="33" hidden="1" customHeight="1" x14ac:dyDescent="0.3">
      <c r="A68" s="37" t="s">
        <v>217</v>
      </c>
      <c r="B68" s="38" t="s">
        <v>76</v>
      </c>
      <c r="C68" s="38" t="s">
        <v>918</v>
      </c>
      <c r="D68" s="38" t="s">
        <v>137</v>
      </c>
      <c r="E68" s="38" t="s">
        <v>282</v>
      </c>
      <c r="F68" s="381"/>
      <c r="G68" s="512">
        <v>50</v>
      </c>
      <c r="H68" s="512"/>
      <c r="I68" s="455">
        <f t="shared" si="0"/>
        <v>50</v>
      </c>
      <c r="J68" s="367">
        <v>50</v>
      </c>
      <c r="K68" s="540"/>
      <c r="L68" s="451">
        <f t="shared" si="1"/>
        <v>50</v>
      </c>
    </row>
    <row r="69" spans="1:12" s="114" customFormat="1" ht="34.5" customHeight="1" x14ac:dyDescent="0.25">
      <c r="A69" s="14" t="s">
        <v>294</v>
      </c>
      <c r="B69" s="27" t="s">
        <v>9</v>
      </c>
      <c r="C69" s="27" t="s">
        <v>295</v>
      </c>
      <c r="D69" s="27" t="s">
        <v>137</v>
      </c>
      <c r="E69" s="27" t="s">
        <v>9</v>
      </c>
      <c r="F69" s="27"/>
      <c r="G69" s="509">
        <f>G70</f>
        <v>164.4</v>
      </c>
      <c r="H69" s="509"/>
      <c r="I69" s="455">
        <f t="shared" si="0"/>
        <v>164.4</v>
      </c>
      <c r="J69" s="375">
        <f>J70</f>
        <v>164.4</v>
      </c>
      <c r="K69" s="538"/>
      <c r="L69" s="452">
        <f t="shared" si="1"/>
        <v>164.4</v>
      </c>
    </row>
    <row r="70" spans="1:12" s="114" customFormat="1" ht="15.75" x14ac:dyDescent="0.25">
      <c r="A70" s="14" t="s">
        <v>296</v>
      </c>
      <c r="B70" s="27" t="s">
        <v>9</v>
      </c>
      <c r="C70" s="27" t="s">
        <v>297</v>
      </c>
      <c r="D70" s="27" t="s">
        <v>137</v>
      </c>
      <c r="E70" s="27" t="s">
        <v>282</v>
      </c>
      <c r="F70" s="27"/>
      <c r="G70" s="509">
        <f>G71+G72+G73</f>
        <v>164.4</v>
      </c>
      <c r="H70" s="509"/>
      <c r="I70" s="455">
        <f t="shared" si="0"/>
        <v>164.4</v>
      </c>
      <c r="J70" s="375">
        <f>J71+J72+J73</f>
        <v>164.4</v>
      </c>
      <c r="K70" s="538"/>
      <c r="L70" s="452">
        <f t="shared" si="1"/>
        <v>164.4</v>
      </c>
    </row>
    <row r="71" spans="1:12" ht="31.5" x14ac:dyDescent="0.25">
      <c r="A71" s="19" t="s">
        <v>298</v>
      </c>
      <c r="B71" s="381" t="s">
        <v>299</v>
      </c>
      <c r="C71" s="381" t="s">
        <v>300</v>
      </c>
      <c r="D71" s="381" t="s">
        <v>137</v>
      </c>
      <c r="E71" s="381" t="s">
        <v>282</v>
      </c>
      <c r="F71" s="381"/>
      <c r="G71" s="510">
        <v>104.9</v>
      </c>
      <c r="H71" s="510"/>
      <c r="I71" s="455">
        <f t="shared" si="0"/>
        <v>104.9</v>
      </c>
      <c r="J71" s="369">
        <v>104.9</v>
      </c>
      <c r="K71" s="506"/>
      <c r="L71" s="451">
        <f t="shared" si="1"/>
        <v>104.9</v>
      </c>
    </row>
    <row r="72" spans="1:12" ht="15.75" x14ac:dyDescent="0.25">
      <c r="A72" s="19" t="s">
        <v>301</v>
      </c>
      <c r="B72" s="381" t="s">
        <v>299</v>
      </c>
      <c r="C72" s="381" t="s">
        <v>302</v>
      </c>
      <c r="D72" s="381" t="s">
        <v>137</v>
      </c>
      <c r="E72" s="381" t="s">
        <v>282</v>
      </c>
      <c r="F72" s="381"/>
      <c r="G72" s="510">
        <v>59.1</v>
      </c>
      <c r="H72" s="510"/>
      <c r="I72" s="455">
        <f t="shared" si="0"/>
        <v>59.1</v>
      </c>
      <c r="J72" s="369">
        <v>59.1</v>
      </c>
      <c r="K72" s="506"/>
      <c r="L72" s="451">
        <f t="shared" si="1"/>
        <v>59.1</v>
      </c>
    </row>
    <row r="73" spans="1:12" ht="25.5" customHeight="1" x14ac:dyDescent="0.25">
      <c r="A73" s="19" t="s">
        <v>303</v>
      </c>
      <c r="B73" s="381" t="s">
        <v>299</v>
      </c>
      <c r="C73" s="381" t="s">
        <v>304</v>
      </c>
      <c r="D73" s="381" t="s">
        <v>137</v>
      </c>
      <c r="E73" s="381" t="s">
        <v>282</v>
      </c>
      <c r="F73" s="381"/>
      <c r="G73" s="510">
        <f>G74</f>
        <v>0.4</v>
      </c>
      <c r="H73" s="510"/>
      <c r="I73" s="455">
        <f t="shared" si="0"/>
        <v>0.4</v>
      </c>
      <c r="J73" s="369">
        <f>J74</f>
        <v>0.4</v>
      </c>
      <c r="K73" s="506"/>
      <c r="L73" s="451">
        <f t="shared" si="1"/>
        <v>0.4</v>
      </c>
    </row>
    <row r="74" spans="1:12" ht="24.75" hidden="1" customHeight="1" x14ac:dyDescent="0.3">
      <c r="A74" s="37" t="s">
        <v>303</v>
      </c>
      <c r="B74" s="38" t="s">
        <v>299</v>
      </c>
      <c r="C74" s="38" t="s">
        <v>769</v>
      </c>
      <c r="D74" s="38" t="s">
        <v>137</v>
      </c>
      <c r="E74" s="38" t="s">
        <v>282</v>
      </c>
      <c r="F74" s="381"/>
      <c r="G74" s="512">
        <v>0.4</v>
      </c>
      <c r="H74" s="512"/>
      <c r="I74" s="455">
        <f t="shared" si="0"/>
        <v>0.4</v>
      </c>
      <c r="J74" s="367">
        <v>0.4</v>
      </c>
      <c r="K74" s="506"/>
      <c r="L74" s="451">
        <f t="shared" si="1"/>
        <v>0.4</v>
      </c>
    </row>
    <row r="75" spans="1:12" s="114" customFormat="1" ht="31.5" x14ac:dyDescent="0.25">
      <c r="A75" s="14" t="s">
        <v>305</v>
      </c>
      <c r="B75" s="27" t="s">
        <v>9</v>
      </c>
      <c r="C75" s="27" t="s">
        <v>306</v>
      </c>
      <c r="D75" s="27" t="s">
        <v>137</v>
      </c>
      <c r="E75" s="27" t="s">
        <v>9</v>
      </c>
      <c r="F75" s="27"/>
      <c r="G75" s="509">
        <f>G76+G83</f>
        <v>26085.899999999998</v>
      </c>
      <c r="H75" s="509"/>
      <c r="I75" s="455">
        <f t="shared" ref="I75:I138" si="2">G75+H75</f>
        <v>26085.899999999998</v>
      </c>
      <c r="J75" s="375">
        <f>J76+J83</f>
        <v>26275.899999999998</v>
      </c>
      <c r="K75" s="538"/>
      <c r="L75" s="452">
        <f t="shared" ref="L75:L138" si="3">J75+K75</f>
        <v>26275.899999999998</v>
      </c>
    </row>
    <row r="76" spans="1:12" s="114" customFormat="1" ht="15.75" x14ac:dyDescent="0.25">
      <c r="A76" s="28" t="s">
        <v>307</v>
      </c>
      <c r="B76" s="27" t="s">
        <v>9</v>
      </c>
      <c r="C76" s="27" t="s">
        <v>308</v>
      </c>
      <c r="D76" s="27" t="s">
        <v>137</v>
      </c>
      <c r="E76" s="27" t="s">
        <v>309</v>
      </c>
      <c r="F76" s="27"/>
      <c r="G76" s="509">
        <f>G77+G78</f>
        <v>25437.599999999999</v>
      </c>
      <c r="H76" s="509"/>
      <c r="I76" s="455">
        <f t="shared" si="2"/>
        <v>25437.599999999999</v>
      </c>
      <c r="J76" s="375">
        <f>J77+J78</f>
        <v>25627.599999999999</v>
      </c>
      <c r="K76" s="538"/>
      <c r="L76" s="452">
        <f t="shared" si="3"/>
        <v>25627.599999999999</v>
      </c>
    </row>
    <row r="77" spans="1:12" ht="15.75" x14ac:dyDescent="0.25">
      <c r="A77" s="29" t="s">
        <v>472</v>
      </c>
      <c r="B77" s="381" t="s">
        <v>22</v>
      </c>
      <c r="C77" s="381" t="s">
        <v>310</v>
      </c>
      <c r="D77" s="381" t="s">
        <v>137</v>
      </c>
      <c r="E77" s="381" t="s">
        <v>309</v>
      </c>
      <c r="F77" s="381"/>
      <c r="G77" s="510">
        <f>24746+621.6</f>
        <v>25367.599999999999</v>
      </c>
      <c r="H77" s="510"/>
      <c r="I77" s="455">
        <f t="shared" si="2"/>
        <v>25367.599999999999</v>
      </c>
      <c r="J77" s="369">
        <f>24936+621.6</f>
        <v>25557.599999999999</v>
      </c>
      <c r="K77" s="506"/>
      <c r="L77" s="451">
        <f t="shared" si="3"/>
        <v>25557.599999999999</v>
      </c>
    </row>
    <row r="78" spans="1:12" ht="15.75" x14ac:dyDescent="0.25">
      <c r="A78" s="29" t="s">
        <v>472</v>
      </c>
      <c r="B78" s="381" t="s">
        <v>76</v>
      </c>
      <c r="C78" s="381" t="s">
        <v>310</v>
      </c>
      <c r="D78" s="381" t="s">
        <v>137</v>
      </c>
      <c r="E78" s="381" t="s">
        <v>309</v>
      </c>
      <c r="F78" s="381"/>
      <c r="G78" s="513">
        <f>G79+G81+G82+G80</f>
        <v>70</v>
      </c>
      <c r="H78" s="513"/>
      <c r="I78" s="455">
        <f t="shared" si="2"/>
        <v>70</v>
      </c>
      <c r="J78" s="371">
        <f>J79+J81+J82+J80</f>
        <v>70</v>
      </c>
      <c r="K78" s="506"/>
      <c r="L78" s="451">
        <f t="shared" si="3"/>
        <v>70</v>
      </c>
    </row>
    <row r="79" spans="1:12" ht="75" customHeight="1" outlineLevel="1" x14ac:dyDescent="0.25">
      <c r="A79" s="39" t="s">
        <v>515</v>
      </c>
      <c r="B79" s="38"/>
      <c r="C79" s="38"/>
      <c r="D79" s="38"/>
      <c r="E79" s="38"/>
      <c r="F79" s="381"/>
      <c r="G79" s="515">
        <v>10</v>
      </c>
      <c r="H79" s="515"/>
      <c r="I79" s="455">
        <f t="shared" si="2"/>
        <v>10</v>
      </c>
      <c r="J79" s="165">
        <v>10</v>
      </c>
      <c r="K79" s="506"/>
      <c r="L79" s="451">
        <f t="shared" si="3"/>
        <v>10</v>
      </c>
    </row>
    <row r="80" spans="1:12" ht="72" customHeight="1" outlineLevel="1" x14ac:dyDescent="0.25">
      <c r="A80" s="39" t="s">
        <v>560</v>
      </c>
      <c r="B80" s="38"/>
      <c r="C80" s="38"/>
      <c r="D80" s="38"/>
      <c r="E80" s="38"/>
      <c r="F80" s="381"/>
      <c r="G80" s="515">
        <v>0</v>
      </c>
      <c r="H80" s="515"/>
      <c r="I80" s="455">
        <f t="shared" si="2"/>
        <v>0</v>
      </c>
      <c r="J80" s="165">
        <v>0</v>
      </c>
      <c r="K80" s="506"/>
      <c r="L80" s="451">
        <f t="shared" si="3"/>
        <v>0</v>
      </c>
    </row>
    <row r="81" spans="1:12" ht="73.5" customHeight="1" outlineLevel="1" x14ac:dyDescent="0.25">
      <c r="A81" s="39" t="s">
        <v>465</v>
      </c>
      <c r="B81" s="38"/>
      <c r="C81" s="38"/>
      <c r="D81" s="38"/>
      <c r="E81" s="38"/>
      <c r="F81" s="381"/>
      <c r="G81" s="515">
        <v>60</v>
      </c>
      <c r="H81" s="515"/>
      <c r="I81" s="455">
        <f t="shared" si="2"/>
        <v>60</v>
      </c>
      <c r="J81" s="165">
        <v>60</v>
      </c>
      <c r="K81" s="506"/>
      <c r="L81" s="451">
        <f t="shared" si="3"/>
        <v>60</v>
      </c>
    </row>
    <row r="82" spans="1:12" ht="78" customHeight="1" outlineLevel="1" x14ac:dyDescent="0.25">
      <c r="A82" s="39" t="s">
        <v>671</v>
      </c>
      <c r="B82" s="38"/>
      <c r="C82" s="38"/>
      <c r="D82" s="38"/>
      <c r="E82" s="38"/>
      <c r="F82" s="381"/>
      <c r="G82" s="515"/>
      <c r="H82" s="515"/>
      <c r="I82" s="455">
        <f t="shared" si="2"/>
        <v>0</v>
      </c>
      <c r="J82" s="165"/>
      <c r="K82" s="506"/>
      <c r="L82" s="451">
        <f t="shared" si="3"/>
        <v>0</v>
      </c>
    </row>
    <row r="83" spans="1:12" s="114" customFormat="1" ht="15.75" x14ac:dyDescent="0.25">
      <c r="A83" s="28" t="s">
        <v>311</v>
      </c>
      <c r="B83" s="27" t="s">
        <v>9</v>
      </c>
      <c r="C83" s="27" t="s">
        <v>312</v>
      </c>
      <c r="D83" s="27" t="s">
        <v>137</v>
      </c>
      <c r="E83" s="27" t="s">
        <v>309</v>
      </c>
      <c r="F83" s="27"/>
      <c r="G83" s="509">
        <f>G85+G84</f>
        <v>648.30000000000007</v>
      </c>
      <c r="H83" s="509"/>
      <c r="I83" s="455">
        <f t="shared" si="2"/>
        <v>648.30000000000007</v>
      </c>
      <c r="J83" s="375">
        <f>J85+J84</f>
        <v>648.30000000000007</v>
      </c>
      <c r="K83" s="538"/>
      <c r="L83" s="452">
        <f t="shared" si="3"/>
        <v>648.30000000000007</v>
      </c>
    </row>
    <row r="84" spans="1:12" s="114" customFormat="1" ht="31.15" hidden="1" x14ac:dyDescent="0.3">
      <c r="A84" s="29" t="s">
        <v>473</v>
      </c>
      <c r="B84" s="381" t="s">
        <v>22</v>
      </c>
      <c r="C84" s="381" t="s">
        <v>313</v>
      </c>
      <c r="D84" s="381" t="s">
        <v>137</v>
      </c>
      <c r="E84" s="381" t="s">
        <v>309</v>
      </c>
      <c r="F84" s="27"/>
      <c r="G84" s="513">
        <v>0</v>
      </c>
      <c r="H84" s="513"/>
      <c r="I84" s="455">
        <f t="shared" si="2"/>
        <v>0</v>
      </c>
      <c r="J84" s="371">
        <v>0</v>
      </c>
      <c r="K84" s="538"/>
      <c r="L84" s="451">
        <f t="shared" si="3"/>
        <v>0</v>
      </c>
    </row>
    <row r="85" spans="1:12" ht="31.5" x14ac:dyDescent="0.25">
      <c r="A85" s="29" t="s">
        <v>473</v>
      </c>
      <c r="B85" s="381" t="s">
        <v>76</v>
      </c>
      <c r="C85" s="381" t="s">
        <v>313</v>
      </c>
      <c r="D85" s="381" t="s">
        <v>137</v>
      </c>
      <c r="E85" s="381" t="s">
        <v>309</v>
      </c>
      <c r="F85" s="381"/>
      <c r="G85" s="510">
        <f>G86+G87+G88</f>
        <v>648.30000000000007</v>
      </c>
      <c r="H85" s="510"/>
      <c r="I85" s="455">
        <f t="shared" si="2"/>
        <v>648.30000000000007</v>
      </c>
      <c r="J85" s="369">
        <f>J86+J87+J88</f>
        <v>648.30000000000007</v>
      </c>
      <c r="K85" s="506"/>
      <c r="L85" s="451">
        <f t="shared" si="3"/>
        <v>648.30000000000007</v>
      </c>
    </row>
    <row r="86" spans="1:12" ht="59.25" hidden="1" customHeight="1" x14ac:dyDescent="0.3">
      <c r="A86" s="39" t="s">
        <v>474</v>
      </c>
      <c r="B86" s="38"/>
      <c r="C86" s="38"/>
      <c r="D86" s="38"/>
      <c r="E86" s="38"/>
      <c r="F86" s="381"/>
      <c r="G86" s="515"/>
      <c r="H86" s="515"/>
      <c r="I86" s="455">
        <f t="shared" si="2"/>
        <v>0</v>
      </c>
      <c r="J86" s="165"/>
      <c r="K86" s="506"/>
      <c r="L86" s="451">
        <f t="shared" si="3"/>
        <v>0</v>
      </c>
    </row>
    <row r="87" spans="1:12" ht="62.25" customHeight="1" outlineLevel="1" x14ac:dyDescent="0.25">
      <c r="A87" s="39" t="s">
        <v>475</v>
      </c>
      <c r="B87" s="38"/>
      <c r="C87" s="38"/>
      <c r="D87" s="38"/>
      <c r="E87" s="38"/>
      <c r="F87" s="381"/>
      <c r="G87" s="515">
        <v>18.100000000000001</v>
      </c>
      <c r="H87" s="515"/>
      <c r="I87" s="455">
        <f t="shared" si="2"/>
        <v>18.100000000000001</v>
      </c>
      <c r="J87" s="165">
        <v>18.100000000000001</v>
      </c>
      <c r="K87" s="506"/>
      <c r="L87" s="451">
        <f t="shared" si="3"/>
        <v>18.100000000000001</v>
      </c>
    </row>
    <row r="88" spans="1:12" ht="62.25" customHeight="1" outlineLevel="1" x14ac:dyDescent="0.25">
      <c r="A88" s="39" t="s">
        <v>671</v>
      </c>
      <c r="B88" s="38"/>
      <c r="C88" s="38"/>
      <c r="D88" s="38"/>
      <c r="E88" s="38"/>
      <c r="F88" s="381"/>
      <c r="G88" s="515">
        <v>630.20000000000005</v>
      </c>
      <c r="H88" s="515"/>
      <c r="I88" s="455">
        <f t="shared" si="2"/>
        <v>630.20000000000005</v>
      </c>
      <c r="J88" s="165">
        <v>630.20000000000005</v>
      </c>
      <c r="K88" s="506"/>
      <c r="L88" s="451">
        <f t="shared" si="3"/>
        <v>630.20000000000005</v>
      </c>
    </row>
    <row r="89" spans="1:12" s="114" customFormat="1" ht="31.5" x14ac:dyDescent="0.25">
      <c r="A89" s="14" t="s">
        <v>224</v>
      </c>
      <c r="B89" s="27" t="s">
        <v>9</v>
      </c>
      <c r="C89" s="27" t="s">
        <v>314</v>
      </c>
      <c r="D89" s="27" t="s">
        <v>137</v>
      </c>
      <c r="E89" s="27" t="s">
        <v>9</v>
      </c>
      <c r="F89" s="27"/>
      <c r="G89" s="509">
        <f>G90+G94</f>
        <v>800</v>
      </c>
      <c r="H89" s="509"/>
      <c r="I89" s="455">
        <f t="shared" si="2"/>
        <v>800</v>
      </c>
      <c r="J89" s="375">
        <f>J90+J94</f>
        <v>800</v>
      </c>
      <c r="K89" s="538"/>
      <c r="L89" s="452">
        <f t="shared" si="3"/>
        <v>800</v>
      </c>
    </row>
    <row r="90" spans="1:12" s="114" customFormat="1" ht="83.25" customHeight="1" x14ac:dyDescent="0.25">
      <c r="A90" s="28" t="s">
        <v>476</v>
      </c>
      <c r="B90" s="27" t="s">
        <v>9</v>
      </c>
      <c r="C90" s="27" t="s">
        <v>315</v>
      </c>
      <c r="D90" s="27" t="s">
        <v>137</v>
      </c>
      <c r="E90" s="27" t="s">
        <v>9</v>
      </c>
      <c r="F90" s="27"/>
      <c r="G90" s="509">
        <f>G91</f>
        <v>300</v>
      </c>
      <c r="H90" s="509"/>
      <c r="I90" s="455">
        <f t="shared" si="2"/>
        <v>300</v>
      </c>
      <c r="J90" s="375">
        <f>J91</f>
        <v>300</v>
      </c>
      <c r="K90" s="538"/>
      <c r="L90" s="452">
        <f t="shared" si="3"/>
        <v>300</v>
      </c>
    </row>
    <row r="91" spans="1:12" ht="94.5" x14ac:dyDescent="0.25">
      <c r="A91" s="29" t="s">
        <v>477</v>
      </c>
      <c r="B91" s="381" t="s">
        <v>9</v>
      </c>
      <c r="C91" s="381" t="s">
        <v>316</v>
      </c>
      <c r="D91" s="381" t="s">
        <v>137</v>
      </c>
      <c r="E91" s="381" t="s">
        <v>317</v>
      </c>
      <c r="F91" s="381"/>
      <c r="G91" s="510">
        <f>G92+G93</f>
        <v>300</v>
      </c>
      <c r="H91" s="510"/>
      <c r="I91" s="455">
        <f t="shared" si="2"/>
        <v>300</v>
      </c>
      <c r="J91" s="369">
        <f>J92+J93</f>
        <v>300</v>
      </c>
      <c r="K91" s="506"/>
      <c r="L91" s="451">
        <f t="shared" si="3"/>
        <v>300</v>
      </c>
    </row>
    <row r="92" spans="1:12" ht="48.75" hidden="1" customHeight="1" x14ac:dyDescent="0.3">
      <c r="A92" s="39" t="s">
        <v>218</v>
      </c>
      <c r="B92" s="38" t="s">
        <v>70</v>
      </c>
      <c r="C92" s="38" t="s">
        <v>318</v>
      </c>
      <c r="D92" s="38" t="s">
        <v>137</v>
      </c>
      <c r="E92" s="38" t="s">
        <v>317</v>
      </c>
      <c r="F92" s="381"/>
      <c r="G92" s="516"/>
      <c r="H92" s="516"/>
      <c r="I92" s="455">
        <f t="shared" si="2"/>
        <v>0</v>
      </c>
      <c r="J92" s="370"/>
      <c r="K92" s="506"/>
      <c r="L92" s="451">
        <f t="shared" si="3"/>
        <v>0</v>
      </c>
    </row>
    <row r="93" spans="1:12" ht="48.75" hidden="1" customHeight="1" x14ac:dyDescent="0.3">
      <c r="A93" s="39" t="s">
        <v>218</v>
      </c>
      <c r="B93" s="38" t="s">
        <v>76</v>
      </c>
      <c r="C93" s="38" t="s">
        <v>318</v>
      </c>
      <c r="D93" s="38" t="s">
        <v>137</v>
      </c>
      <c r="E93" s="38" t="s">
        <v>317</v>
      </c>
      <c r="F93" s="381"/>
      <c r="G93" s="516">
        <v>300</v>
      </c>
      <c r="H93" s="516"/>
      <c r="I93" s="455">
        <f t="shared" si="2"/>
        <v>300</v>
      </c>
      <c r="J93" s="370">
        <v>300</v>
      </c>
      <c r="K93" s="506"/>
      <c r="L93" s="451">
        <f t="shared" si="3"/>
        <v>300</v>
      </c>
    </row>
    <row r="94" spans="1:12" s="114" customFormat="1" ht="31.5" x14ac:dyDescent="0.25">
      <c r="A94" s="28" t="s">
        <v>478</v>
      </c>
      <c r="B94" s="27" t="s">
        <v>9</v>
      </c>
      <c r="C94" s="27" t="s">
        <v>319</v>
      </c>
      <c r="D94" s="27" t="s">
        <v>137</v>
      </c>
      <c r="E94" s="27" t="s">
        <v>320</v>
      </c>
      <c r="F94" s="27"/>
      <c r="G94" s="509">
        <f>G95+G101</f>
        <v>500</v>
      </c>
      <c r="H94" s="509"/>
      <c r="I94" s="455">
        <f t="shared" si="2"/>
        <v>500</v>
      </c>
      <c r="J94" s="375">
        <f>J95+J101</f>
        <v>500</v>
      </c>
      <c r="K94" s="538"/>
      <c r="L94" s="452">
        <f t="shared" si="3"/>
        <v>500</v>
      </c>
    </row>
    <row r="95" spans="1:12" ht="33.75" customHeight="1" x14ac:dyDescent="0.25">
      <c r="A95" s="29" t="s">
        <v>321</v>
      </c>
      <c r="B95" s="381" t="s">
        <v>76</v>
      </c>
      <c r="C95" s="381" t="s">
        <v>322</v>
      </c>
      <c r="D95" s="381" t="s">
        <v>137</v>
      </c>
      <c r="E95" s="381" t="s">
        <v>320</v>
      </c>
      <c r="F95" s="381"/>
      <c r="G95" s="513">
        <f>G96+G98+G97+G99+G100</f>
        <v>450</v>
      </c>
      <c r="H95" s="513"/>
      <c r="I95" s="455">
        <f t="shared" si="2"/>
        <v>450</v>
      </c>
      <c r="J95" s="371">
        <f>J96+J98+J97+J99+J100</f>
        <v>450</v>
      </c>
      <c r="K95" s="506"/>
      <c r="L95" s="451">
        <f t="shared" si="3"/>
        <v>450</v>
      </c>
    </row>
    <row r="96" spans="1:12" ht="47.25" customHeight="1" outlineLevel="1" x14ac:dyDescent="0.25">
      <c r="A96" s="39" t="s">
        <v>905</v>
      </c>
      <c r="B96" s="38" t="s">
        <v>70</v>
      </c>
      <c r="C96" s="38" t="s">
        <v>667</v>
      </c>
      <c r="D96" s="38" t="s">
        <v>137</v>
      </c>
      <c r="E96" s="38" t="s">
        <v>320</v>
      </c>
      <c r="F96" s="381"/>
      <c r="G96" s="512">
        <v>0</v>
      </c>
      <c r="H96" s="512"/>
      <c r="I96" s="455">
        <f t="shared" si="2"/>
        <v>0</v>
      </c>
      <c r="J96" s="367">
        <v>0</v>
      </c>
      <c r="K96" s="506"/>
      <c r="L96" s="451">
        <f t="shared" si="3"/>
        <v>0</v>
      </c>
    </row>
    <row r="97" spans="1:12" ht="47.25" customHeight="1" outlineLevel="1" x14ac:dyDescent="0.25">
      <c r="A97" s="39" t="s">
        <v>905</v>
      </c>
      <c r="B97" s="38" t="s">
        <v>76</v>
      </c>
      <c r="C97" s="38" t="s">
        <v>667</v>
      </c>
      <c r="D97" s="38" t="s">
        <v>137</v>
      </c>
      <c r="E97" s="38" t="s">
        <v>320</v>
      </c>
      <c r="F97" s="381"/>
      <c r="G97" s="512">
        <v>375</v>
      </c>
      <c r="H97" s="512"/>
      <c r="I97" s="455">
        <f t="shared" si="2"/>
        <v>375</v>
      </c>
      <c r="J97" s="367">
        <v>375</v>
      </c>
      <c r="K97" s="506"/>
      <c r="L97" s="451">
        <f t="shared" si="3"/>
        <v>375</v>
      </c>
    </row>
    <row r="98" spans="1:12" ht="56.25" customHeight="1" outlineLevel="1" x14ac:dyDescent="0.25">
      <c r="A98" s="39" t="s">
        <v>906</v>
      </c>
      <c r="B98" s="38" t="s">
        <v>70</v>
      </c>
      <c r="C98" s="38" t="s">
        <v>479</v>
      </c>
      <c r="D98" s="38" t="s">
        <v>137</v>
      </c>
      <c r="E98" s="38" t="s">
        <v>320</v>
      </c>
      <c r="F98" s="381"/>
      <c r="G98" s="512"/>
      <c r="H98" s="512"/>
      <c r="I98" s="455">
        <f t="shared" si="2"/>
        <v>0</v>
      </c>
      <c r="J98" s="367"/>
      <c r="K98" s="506"/>
      <c r="L98" s="451">
        <f t="shared" si="3"/>
        <v>0</v>
      </c>
    </row>
    <row r="99" spans="1:12" ht="56.25" customHeight="1" outlineLevel="1" x14ac:dyDescent="0.25">
      <c r="A99" s="39" t="s">
        <v>906</v>
      </c>
      <c r="B99" s="38" t="s">
        <v>1158</v>
      </c>
      <c r="C99" s="38" t="s">
        <v>479</v>
      </c>
      <c r="D99" s="38" t="s">
        <v>137</v>
      </c>
      <c r="E99" s="38" t="s">
        <v>320</v>
      </c>
      <c r="F99" s="381"/>
      <c r="G99" s="512">
        <v>25</v>
      </c>
      <c r="H99" s="512"/>
      <c r="I99" s="455">
        <f t="shared" si="2"/>
        <v>25</v>
      </c>
      <c r="J99" s="367">
        <v>25</v>
      </c>
      <c r="K99" s="506"/>
      <c r="L99" s="451">
        <f t="shared" si="3"/>
        <v>25</v>
      </c>
    </row>
    <row r="100" spans="1:12" ht="56.25" customHeight="1" outlineLevel="1" x14ac:dyDescent="0.25">
      <c r="A100" s="39" t="s">
        <v>906</v>
      </c>
      <c r="B100" s="38" t="s">
        <v>1157</v>
      </c>
      <c r="C100" s="38" t="s">
        <v>479</v>
      </c>
      <c r="D100" s="38" t="s">
        <v>137</v>
      </c>
      <c r="E100" s="38" t="s">
        <v>320</v>
      </c>
      <c r="F100" s="381"/>
      <c r="G100" s="512">
        <v>50</v>
      </c>
      <c r="H100" s="512"/>
      <c r="I100" s="455">
        <f t="shared" si="2"/>
        <v>50</v>
      </c>
      <c r="J100" s="367">
        <v>50</v>
      </c>
      <c r="K100" s="506"/>
      <c r="L100" s="451">
        <f t="shared" si="3"/>
        <v>50</v>
      </c>
    </row>
    <row r="101" spans="1:12" ht="54.75" customHeight="1" x14ac:dyDescent="0.25">
      <c r="A101" s="29" t="s">
        <v>909</v>
      </c>
      <c r="B101" s="381" t="s">
        <v>76</v>
      </c>
      <c r="C101" s="381" t="s">
        <v>907</v>
      </c>
      <c r="D101" s="381" t="s">
        <v>137</v>
      </c>
      <c r="E101" s="381" t="s">
        <v>320</v>
      </c>
      <c r="F101" s="381"/>
      <c r="G101" s="513">
        <f>G102+G103</f>
        <v>50</v>
      </c>
      <c r="H101" s="513"/>
      <c r="I101" s="455">
        <f t="shared" si="2"/>
        <v>50</v>
      </c>
      <c r="J101" s="371">
        <f>J102+J103</f>
        <v>50</v>
      </c>
      <c r="K101" s="506"/>
      <c r="L101" s="451">
        <f t="shared" si="3"/>
        <v>50</v>
      </c>
    </row>
    <row r="102" spans="1:12" ht="45" hidden="1" customHeight="1" x14ac:dyDescent="0.3">
      <c r="A102" s="39" t="s">
        <v>219</v>
      </c>
      <c r="B102" s="38" t="s">
        <v>70</v>
      </c>
      <c r="C102" s="38" t="s">
        <v>908</v>
      </c>
      <c r="D102" s="38" t="s">
        <v>137</v>
      </c>
      <c r="E102" s="38" t="s">
        <v>320</v>
      </c>
      <c r="F102" s="38"/>
      <c r="G102" s="517">
        <v>0</v>
      </c>
      <c r="H102" s="517"/>
      <c r="I102" s="455">
        <f t="shared" si="2"/>
        <v>0</v>
      </c>
      <c r="J102" s="372">
        <v>0</v>
      </c>
      <c r="K102" s="506"/>
      <c r="L102" s="451">
        <f t="shared" si="3"/>
        <v>0</v>
      </c>
    </row>
    <row r="103" spans="1:12" ht="86.25" hidden="1" customHeight="1" x14ac:dyDescent="0.3">
      <c r="A103" s="39" t="s">
        <v>219</v>
      </c>
      <c r="B103" s="38" t="s">
        <v>76</v>
      </c>
      <c r="C103" s="38" t="s">
        <v>908</v>
      </c>
      <c r="D103" s="38" t="s">
        <v>137</v>
      </c>
      <c r="E103" s="38" t="s">
        <v>320</v>
      </c>
      <c r="F103" s="38"/>
      <c r="G103" s="517">
        <v>50</v>
      </c>
      <c r="H103" s="517"/>
      <c r="I103" s="455">
        <f t="shared" si="2"/>
        <v>50</v>
      </c>
      <c r="J103" s="372">
        <v>50</v>
      </c>
      <c r="K103" s="506"/>
      <c r="L103" s="451">
        <f t="shared" si="3"/>
        <v>50</v>
      </c>
    </row>
    <row r="104" spans="1:12" s="114" customFormat="1" ht="15.75" x14ac:dyDescent="0.25">
      <c r="A104" s="14" t="s">
        <v>225</v>
      </c>
      <c r="B104" s="27" t="s">
        <v>9</v>
      </c>
      <c r="C104" s="27" t="s">
        <v>323</v>
      </c>
      <c r="D104" s="27" t="s">
        <v>137</v>
      </c>
      <c r="E104" s="27" t="s">
        <v>9</v>
      </c>
      <c r="F104" s="27"/>
      <c r="G104" s="509">
        <f>G105+G109+G111+G107+G115</f>
        <v>140</v>
      </c>
      <c r="H104" s="509"/>
      <c r="I104" s="455">
        <f t="shared" si="2"/>
        <v>140</v>
      </c>
      <c r="J104" s="375">
        <f>J105+J109+J111+J107+J115</f>
        <v>140</v>
      </c>
      <c r="K104" s="538"/>
      <c r="L104" s="452">
        <f t="shared" si="3"/>
        <v>140</v>
      </c>
    </row>
    <row r="105" spans="1:12" s="114" customFormat="1" ht="31.15" hidden="1" x14ac:dyDescent="0.3">
      <c r="A105" s="14" t="s">
        <v>324</v>
      </c>
      <c r="B105" s="27" t="s">
        <v>9</v>
      </c>
      <c r="C105" s="27" t="s">
        <v>325</v>
      </c>
      <c r="D105" s="27" t="s">
        <v>137</v>
      </c>
      <c r="E105" s="27" t="s">
        <v>326</v>
      </c>
      <c r="F105" s="27"/>
      <c r="G105" s="518">
        <f>G106</f>
        <v>0</v>
      </c>
      <c r="H105" s="518"/>
      <c r="I105" s="455">
        <f t="shared" si="2"/>
        <v>0</v>
      </c>
      <c r="J105" s="373">
        <f>J106</f>
        <v>0</v>
      </c>
      <c r="K105" s="538"/>
      <c r="L105" s="451">
        <f t="shared" si="3"/>
        <v>0</v>
      </c>
    </row>
    <row r="106" spans="1:12" ht="58.5" hidden="1" customHeight="1" x14ac:dyDescent="0.3">
      <c r="A106" s="19" t="s">
        <v>480</v>
      </c>
      <c r="B106" s="381" t="s">
        <v>238</v>
      </c>
      <c r="C106" s="381" t="s">
        <v>327</v>
      </c>
      <c r="D106" s="381" t="s">
        <v>137</v>
      </c>
      <c r="E106" s="381" t="s">
        <v>326</v>
      </c>
      <c r="F106" s="381"/>
      <c r="G106" s="511"/>
      <c r="H106" s="511"/>
      <c r="I106" s="455">
        <f t="shared" si="2"/>
        <v>0</v>
      </c>
      <c r="J106" s="155"/>
      <c r="K106" s="506"/>
      <c r="L106" s="451">
        <f t="shared" si="3"/>
        <v>0</v>
      </c>
    </row>
    <row r="107" spans="1:12" ht="102.75" customHeight="1" x14ac:dyDescent="0.25">
      <c r="A107" s="83" t="s">
        <v>819</v>
      </c>
      <c r="B107" s="75" t="s">
        <v>9</v>
      </c>
      <c r="C107" s="75" t="s">
        <v>733</v>
      </c>
      <c r="D107" s="75" t="s">
        <v>137</v>
      </c>
      <c r="E107" s="75" t="s">
        <v>326</v>
      </c>
      <c r="F107" s="381"/>
      <c r="G107" s="509">
        <f>G108</f>
        <v>140</v>
      </c>
      <c r="H107" s="509"/>
      <c r="I107" s="455">
        <f t="shared" si="2"/>
        <v>140</v>
      </c>
      <c r="J107" s="375">
        <f>J108</f>
        <v>140</v>
      </c>
      <c r="K107" s="506"/>
      <c r="L107" s="452">
        <f t="shared" si="3"/>
        <v>140</v>
      </c>
    </row>
    <row r="108" spans="1:12" ht="96.75" customHeight="1" x14ac:dyDescent="0.25">
      <c r="A108" s="100" t="s">
        <v>819</v>
      </c>
      <c r="B108" s="79" t="s">
        <v>76</v>
      </c>
      <c r="C108" s="79" t="s">
        <v>820</v>
      </c>
      <c r="D108" s="79" t="s">
        <v>137</v>
      </c>
      <c r="E108" s="79" t="s">
        <v>326</v>
      </c>
      <c r="F108" s="381"/>
      <c r="G108" s="513">
        <v>140</v>
      </c>
      <c r="H108" s="513"/>
      <c r="I108" s="455">
        <f t="shared" si="2"/>
        <v>140</v>
      </c>
      <c r="J108" s="371">
        <v>140</v>
      </c>
      <c r="K108" s="506"/>
      <c r="L108" s="451">
        <f t="shared" si="3"/>
        <v>140</v>
      </c>
    </row>
    <row r="109" spans="1:12" s="114" customFormat="1" ht="109.15" hidden="1" x14ac:dyDescent="0.3">
      <c r="A109" s="14" t="s">
        <v>481</v>
      </c>
      <c r="B109" s="27" t="s">
        <v>9</v>
      </c>
      <c r="C109" s="27" t="s">
        <v>512</v>
      </c>
      <c r="D109" s="27" t="s">
        <v>137</v>
      </c>
      <c r="E109" s="27" t="s">
        <v>326</v>
      </c>
      <c r="F109" s="27"/>
      <c r="G109" s="518">
        <f>G110</f>
        <v>0</v>
      </c>
      <c r="H109" s="518"/>
      <c r="I109" s="455">
        <f t="shared" si="2"/>
        <v>0</v>
      </c>
      <c r="J109" s="373">
        <f>J110</f>
        <v>0</v>
      </c>
      <c r="K109" s="538"/>
      <c r="L109" s="451">
        <f t="shared" si="3"/>
        <v>0</v>
      </c>
    </row>
    <row r="110" spans="1:12" ht="31.15" hidden="1" x14ac:dyDescent="0.3">
      <c r="A110" s="19" t="s">
        <v>328</v>
      </c>
      <c r="B110" s="381" t="s">
        <v>482</v>
      </c>
      <c r="C110" s="381" t="s">
        <v>513</v>
      </c>
      <c r="D110" s="381" t="s">
        <v>137</v>
      </c>
      <c r="E110" s="381" t="s">
        <v>326</v>
      </c>
      <c r="F110" s="381"/>
      <c r="G110" s="511"/>
      <c r="H110" s="511"/>
      <c r="I110" s="455">
        <f t="shared" si="2"/>
        <v>0</v>
      </c>
      <c r="J110" s="155"/>
      <c r="K110" s="506"/>
      <c r="L110" s="451">
        <f t="shared" si="3"/>
        <v>0</v>
      </c>
    </row>
    <row r="111" spans="1:12" s="114" customFormat="1" ht="31.15" hidden="1" x14ac:dyDescent="0.3">
      <c r="A111" s="30" t="s">
        <v>329</v>
      </c>
      <c r="B111" s="31" t="s">
        <v>9</v>
      </c>
      <c r="C111" s="32">
        <v>1169000000</v>
      </c>
      <c r="D111" s="32" t="s">
        <v>137</v>
      </c>
      <c r="E111" s="31" t="s">
        <v>326</v>
      </c>
      <c r="F111" s="27"/>
      <c r="G111" s="518">
        <f>G114+G112+G113</f>
        <v>0</v>
      </c>
      <c r="H111" s="518"/>
      <c r="I111" s="455">
        <f t="shared" si="2"/>
        <v>0</v>
      </c>
      <c r="J111" s="373">
        <f>J114+J112+J113</f>
        <v>0</v>
      </c>
      <c r="K111" s="538"/>
      <c r="L111" s="451">
        <f t="shared" si="3"/>
        <v>0</v>
      </c>
    </row>
    <row r="112" spans="1:12" s="114" customFormat="1" ht="46.9" hidden="1" x14ac:dyDescent="0.3">
      <c r="A112" s="33" t="s">
        <v>220</v>
      </c>
      <c r="B112" s="34" t="s">
        <v>686</v>
      </c>
      <c r="C112" s="35">
        <v>1169005005</v>
      </c>
      <c r="D112" s="35" t="s">
        <v>137</v>
      </c>
      <c r="E112" s="34" t="s">
        <v>326</v>
      </c>
      <c r="F112" s="27"/>
      <c r="G112" s="511"/>
      <c r="H112" s="511"/>
      <c r="I112" s="455">
        <f t="shared" si="2"/>
        <v>0</v>
      </c>
      <c r="J112" s="155"/>
      <c r="K112" s="538"/>
      <c r="L112" s="451">
        <f t="shared" si="3"/>
        <v>0</v>
      </c>
    </row>
    <row r="113" spans="1:12" s="114" customFormat="1" ht="46.9" hidden="1" x14ac:dyDescent="0.3">
      <c r="A113" s="33" t="s">
        <v>220</v>
      </c>
      <c r="B113" s="34" t="s">
        <v>687</v>
      </c>
      <c r="C113" s="35">
        <v>1169005005</v>
      </c>
      <c r="D113" s="35" t="s">
        <v>137</v>
      </c>
      <c r="E113" s="34" t="s">
        <v>326</v>
      </c>
      <c r="F113" s="27"/>
      <c r="G113" s="511"/>
      <c r="H113" s="511"/>
      <c r="I113" s="455">
        <f t="shared" si="2"/>
        <v>0</v>
      </c>
      <c r="J113" s="155"/>
      <c r="K113" s="538"/>
      <c r="L113" s="451">
        <f t="shared" si="3"/>
        <v>0</v>
      </c>
    </row>
    <row r="114" spans="1:12" ht="46.9" hidden="1" x14ac:dyDescent="0.3">
      <c r="A114" s="33" t="s">
        <v>220</v>
      </c>
      <c r="B114" s="34" t="s">
        <v>76</v>
      </c>
      <c r="C114" s="35">
        <v>1169005005</v>
      </c>
      <c r="D114" s="35" t="s">
        <v>137</v>
      </c>
      <c r="E114" s="34" t="s">
        <v>326</v>
      </c>
      <c r="F114" s="381"/>
      <c r="G114" s="511"/>
      <c r="H114" s="511"/>
      <c r="I114" s="455">
        <f t="shared" si="2"/>
        <v>0</v>
      </c>
      <c r="J114" s="155"/>
      <c r="K114" s="506"/>
      <c r="L114" s="451">
        <f t="shared" si="3"/>
        <v>0</v>
      </c>
    </row>
    <row r="115" spans="1:12" ht="78" hidden="1" x14ac:dyDescent="0.3">
      <c r="A115" s="83" t="s">
        <v>912</v>
      </c>
      <c r="B115" s="75" t="s">
        <v>238</v>
      </c>
      <c r="C115" s="75" t="s">
        <v>910</v>
      </c>
      <c r="D115" s="75" t="s">
        <v>137</v>
      </c>
      <c r="E115" s="75" t="s">
        <v>326</v>
      </c>
      <c r="F115" s="27"/>
      <c r="G115" s="519">
        <f>G116</f>
        <v>0</v>
      </c>
      <c r="H115" s="519"/>
      <c r="I115" s="455">
        <f t="shared" si="2"/>
        <v>0</v>
      </c>
      <c r="J115" s="426">
        <f>J116</f>
        <v>0</v>
      </c>
      <c r="K115" s="506"/>
      <c r="L115" s="451">
        <f t="shared" si="3"/>
        <v>0</v>
      </c>
    </row>
    <row r="116" spans="1:12" ht="78" hidden="1" x14ac:dyDescent="0.3">
      <c r="A116" s="100" t="s">
        <v>913</v>
      </c>
      <c r="B116" s="79" t="s">
        <v>238</v>
      </c>
      <c r="C116" s="79" t="s">
        <v>911</v>
      </c>
      <c r="D116" s="79" t="s">
        <v>137</v>
      </c>
      <c r="E116" s="79" t="s">
        <v>326</v>
      </c>
      <c r="F116" s="381"/>
      <c r="G116" s="520"/>
      <c r="H116" s="520"/>
      <c r="I116" s="455">
        <f t="shared" si="2"/>
        <v>0</v>
      </c>
      <c r="J116" s="374"/>
      <c r="K116" s="506"/>
      <c r="L116" s="451">
        <f t="shared" si="3"/>
        <v>0</v>
      </c>
    </row>
    <row r="117" spans="1:12" ht="15.75" x14ac:dyDescent="0.25">
      <c r="A117" s="83" t="s">
        <v>888</v>
      </c>
      <c r="B117" s="75" t="s">
        <v>9</v>
      </c>
      <c r="C117" s="75" t="s">
        <v>887</v>
      </c>
      <c r="D117" s="75" t="s">
        <v>335</v>
      </c>
      <c r="E117" s="75" t="s">
        <v>9</v>
      </c>
      <c r="F117" s="381"/>
      <c r="G117" s="509">
        <f>G118</f>
        <v>37.799999999999997</v>
      </c>
      <c r="H117" s="509"/>
      <c r="I117" s="455">
        <f t="shared" si="2"/>
        <v>37.799999999999997</v>
      </c>
      <c r="J117" s="375">
        <f>J118</f>
        <v>37.799999999999997</v>
      </c>
      <c r="K117" s="506"/>
      <c r="L117" s="452">
        <f t="shared" si="3"/>
        <v>37.799999999999997</v>
      </c>
    </row>
    <row r="118" spans="1:12" ht="15.75" x14ac:dyDescent="0.25">
      <c r="A118" s="83" t="s">
        <v>916</v>
      </c>
      <c r="B118" s="75" t="s">
        <v>9</v>
      </c>
      <c r="C118" s="75" t="s">
        <v>917</v>
      </c>
      <c r="D118" s="75" t="s">
        <v>137</v>
      </c>
      <c r="E118" s="75" t="s">
        <v>915</v>
      </c>
      <c r="F118" s="381"/>
      <c r="G118" s="509">
        <f>G119</f>
        <v>37.799999999999997</v>
      </c>
      <c r="H118" s="509"/>
      <c r="I118" s="455">
        <f t="shared" si="2"/>
        <v>37.799999999999997</v>
      </c>
      <c r="J118" s="375">
        <f>J119</f>
        <v>37.799999999999997</v>
      </c>
      <c r="K118" s="506"/>
      <c r="L118" s="452">
        <f t="shared" si="3"/>
        <v>37.799999999999997</v>
      </c>
    </row>
    <row r="119" spans="1:12" ht="15.75" x14ac:dyDescent="0.25">
      <c r="A119" s="100" t="s">
        <v>214</v>
      </c>
      <c r="B119" s="79" t="s">
        <v>76</v>
      </c>
      <c r="C119" s="79" t="s">
        <v>914</v>
      </c>
      <c r="D119" s="79" t="s">
        <v>137</v>
      </c>
      <c r="E119" s="79" t="s">
        <v>915</v>
      </c>
      <c r="F119" s="381"/>
      <c r="G119" s="513">
        <v>37.799999999999997</v>
      </c>
      <c r="H119" s="513"/>
      <c r="I119" s="455">
        <f t="shared" si="2"/>
        <v>37.799999999999997</v>
      </c>
      <c r="J119" s="155">
        <v>37.799999999999997</v>
      </c>
      <c r="K119" s="506"/>
      <c r="L119" s="451">
        <f t="shared" si="3"/>
        <v>37.799999999999997</v>
      </c>
    </row>
    <row r="120" spans="1:12" s="114" customFormat="1" ht="15.75" x14ac:dyDescent="0.25">
      <c r="A120" s="14" t="s">
        <v>330</v>
      </c>
      <c r="B120" s="16" t="s">
        <v>9</v>
      </c>
      <c r="C120" s="10" t="s">
        <v>331</v>
      </c>
      <c r="D120" s="16" t="s">
        <v>137</v>
      </c>
      <c r="E120" s="16" t="s">
        <v>9</v>
      </c>
      <c r="F120" s="10"/>
      <c r="G120" s="509">
        <f>G121+G209</f>
        <v>716117.23999999987</v>
      </c>
      <c r="H120" s="509"/>
      <c r="I120" s="455">
        <f t="shared" si="2"/>
        <v>716117.23999999987</v>
      </c>
      <c r="J120" s="375">
        <f>J121+J209</f>
        <v>504129.97</v>
      </c>
      <c r="K120" s="538"/>
      <c r="L120" s="452">
        <f t="shared" si="3"/>
        <v>504129.97</v>
      </c>
    </row>
    <row r="121" spans="1:12" s="114" customFormat="1" ht="47.25" x14ac:dyDescent="0.25">
      <c r="A121" s="14" t="s">
        <v>332</v>
      </c>
      <c r="B121" s="16" t="s">
        <v>9</v>
      </c>
      <c r="C121" s="10" t="s">
        <v>333</v>
      </c>
      <c r="D121" s="16" t="s">
        <v>137</v>
      </c>
      <c r="E121" s="16" t="s">
        <v>9</v>
      </c>
      <c r="F121" s="10"/>
      <c r="G121" s="509">
        <f>G122+G125+G156+G197</f>
        <v>715717.23999999987</v>
      </c>
      <c r="H121" s="509"/>
      <c r="I121" s="455">
        <f t="shared" si="2"/>
        <v>715717.23999999987</v>
      </c>
      <c r="J121" s="375">
        <f>J122+J125+J156+J197</f>
        <v>503729.97</v>
      </c>
      <c r="K121" s="538"/>
      <c r="L121" s="452">
        <f t="shared" si="3"/>
        <v>503729.97</v>
      </c>
    </row>
    <row r="122" spans="1:12" s="114" customFormat="1" ht="31.5" x14ac:dyDescent="0.25">
      <c r="A122" s="14" t="s">
        <v>697</v>
      </c>
      <c r="B122" s="16" t="s">
        <v>9</v>
      </c>
      <c r="C122" s="10" t="s">
        <v>527</v>
      </c>
      <c r="D122" s="16" t="s">
        <v>137</v>
      </c>
      <c r="E122" s="16">
        <v>150</v>
      </c>
      <c r="F122" s="10"/>
      <c r="G122" s="509">
        <f>G123</f>
        <v>114886</v>
      </c>
      <c r="H122" s="509"/>
      <c r="I122" s="455">
        <f t="shared" si="2"/>
        <v>114886</v>
      </c>
      <c r="J122" s="375">
        <f>J123</f>
        <v>116715</v>
      </c>
      <c r="K122" s="538"/>
      <c r="L122" s="452">
        <f t="shared" si="3"/>
        <v>116715</v>
      </c>
    </row>
    <row r="123" spans="1:12" s="114" customFormat="1" ht="15.75" x14ac:dyDescent="0.25">
      <c r="A123" s="14" t="s">
        <v>698</v>
      </c>
      <c r="B123" s="16" t="s">
        <v>9</v>
      </c>
      <c r="C123" s="10" t="s">
        <v>528</v>
      </c>
      <c r="D123" s="16" t="s">
        <v>137</v>
      </c>
      <c r="E123" s="16">
        <v>150</v>
      </c>
      <c r="F123" s="10"/>
      <c r="G123" s="509">
        <f>G124</f>
        <v>114886</v>
      </c>
      <c r="H123" s="509"/>
      <c r="I123" s="455">
        <f t="shared" si="2"/>
        <v>114886</v>
      </c>
      <c r="J123" s="375">
        <f>J124</f>
        <v>116715</v>
      </c>
      <c r="K123" s="538"/>
      <c r="L123" s="452">
        <f t="shared" si="3"/>
        <v>116715</v>
      </c>
    </row>
    <row r="124" spans="1:12" ht="15.75" x14ac:dyDescent="0.25">
      <c r="A124" s="19" t="s">
        <v>698</v>
      </c>
      <c r="B124" s="15" t="s">
        <v>49</v>
      </c>
      <c r="C124" s="17" t="s">
        <v>528</v>
      </c>
      <c r="D124" s="381" t="s">
        <v>137</v>
      </c>
      <c r="E124" s="381" t="s">
        <v>705</v>
      </c>
      <c r="F124" s="381"/>
      <c r="G124" s="513">
        <v>114886</v>
      </c>
      <c r="H124" s="513"/>
      <c r="I124" s="455">
        <f t="shared" si="2"/>
        <v>114886</v>
      </c>
      <c r="J124" s="371">
        <v>116715</v>
      </c>
      <c r="K124" s="506"/>
      <c r="L124" s="451">
        <f t="shared" si="3"/>
        <v>116715</v>
      </c>
    </row>
    <row r="125" spans="1:12" s="114" customFormat="1" ht="31.5" x14ac:dyDescent="0.25">
      <c r="A125" s="14" t="s">
        <v>699</v>
      </c>
      <c r="B125" s="16" t="s">
        <v>9</v>
      </c>
      <c r="C125" s="10" t="s">
        <v>529</v>
      </c>
      <c r="D125" s="27" t="s">
        <v>137</v>
      </c>
      <c r="E125" s="27" t="s">
        <v>705</v>
      </c>
      <c r="F125" s="27"/>
      <c r="G125" s="509">
        <f>G126+G146+G140+G138+G132+G142+G144+G128+G130+G134+G136</f>
        <v>362206.73999999993</v>
      </c>
      <c r="H125" s="509"/>
      <c r="I125" s="455">
        <f t="shared" si="2"/>
        <v>362206.73999999993</v>
      </c>
      <c r="J125" s="375">
        <f>J126+J146+J140+J138+J132+J142+J144+J128+J130+J134+J136</f>
        <v>150406.06999999998</v>
      </c>
      <c r="K125" s="538"/>
      <c r="L125" s="452">
        <f t="shared" si="3"/>
        <v>150406.06999999998</v>
      </c>
    </row>
    <row r="126" spans="1:12" s="114" customFormat="1" ht="81.75" customHeight="1" x14ac:dyDescent="0.25">
      <c r="A126" s="14" t="s">
        <v>336</v>
      </c>
      <c r="B126" s="16" t="s">
        <v>9</v>
      </c>
      <c r="C126" s="10" t="s">
        <v>583</v>
      </c>
      <c r="D126" s="16" t="s">
        <v>137</v>
      </c>
      <c r="E126" s="16">
        <v>150</v>
      </c>
      <c r="F126" s="10"/>
      <c r="G126" s="509">
        <f>G127</f>
        <v>19870</v>
      </c>
      <c r="H126" s="509"/>
      <c r="I126" s="455">
        <f t="shared" si="2"/>
        <v>19870</v>
      </c>
      <c r="J126" s="375">
        <f>J127</f>
        <v>18961</v>
      </c>
      <c r="K126" s="538"/>
      <c r="L126" s="452">
        <f t="shared" si="3"/>
        <v>18961</v>
      </c>
    </row>
    <row r="127" spans="1:12" ht="78.75" x14ac:dyDescent="0.25">
      <c r="A127" s="19" t="s">
        <v>336</v>
      </c>
      <c r="B127" s="15" t="s">
        <v>76</v>
      </c>
      <c r="C127" s="17" t="s">
        <v>583</v>
      </c>
      <c r="D127" s="15" t="s">
        <v>137</v>
      </c>
      <c r="E127" s="15">
        <v>150</v>
      </c>
      <c r="F127" s="17"/>
      <c r="G127" s="513">
        <v>19870</v>
      </c>
      <c r="H127" s="513"/>
      <c r="I127" s="456">
        <f t="shared" si="2"/>
        <v>19870</v>
      </c>
      <c r="J127" s="371">
        <v>18961</v>
      </c>
      <c r="K127" s="506"/>
      <c r="L127" s="451">
        <f t="shared" si="3"/>
        <v>18961</v>
      </c>
    </row>
    <row r="128" spans="1:12" ht="124.9" hidden="1" x14ac:dyDescent="0.3">
      <c r="A128" s="244" t="s">
        <v>899</v>
      </c>
      <c r="B128" s="16" t="s">
        <v>9</v>
      </c>
      <c r="C128" s="10" t="s">
        <v>923</v>
      </c>
      <c r="D128" s="16" t="s">
        <v>137</v>
      </c>
      <c r="E128" s="16">
        <v>150</v>
      </c>
      <c r="F128" s="17"/>
      <c r="G128" s="509">
        <f>G129</f>
        <v>0</v>
      </c>
      <c r="H128" s="509"/>
      <c r="I128" s="455">
        <f t="shared" si="2"/>
        <v>0</v>
      </c>
      <c r="J128" s="375">
        <f>J129</f>
        <v>0</v>
      </c>
      <c r="K128" s="506"/>
      <c r="L128" s="451">
        <f t="shared" si="3"/>
        <v>0</v>
      </c>
    </row>
    <row r="129" spans="1:12" ht="121.5" hidden="1" customHeight="1" x14ac:dyDescent="0.3">
      <c r="A129" s="235" t="s">
        <v>899</v>
      </c>
      <c r="B129" s="15" t="s">
        <v>49</v>
      </c>
      <c r="C129" s="17" t="s">
        <v>923</v>
      </c>
      <c r="D129" s="15" t="s">
        <v>137</v>
      </c>
      <c r="E129" s="15">
        <v>150</v>
      </c>
      <c r="F129" s="17"/>
      <c r="G129" s="513"/>
      <c r="H129" s="513"/>
      <c r="I129" s="455">
        <f t="shared" si="2"/>
        <v>0</v>
      </c>
      <c r="J129" s="371"/>
      <c r="K129" s="506"/>
      <c r="L129" s="451">
        <f t="shared" si="3"/>
        <v>0</v>
      </c>
    </row>
    <row r="130" spans="1:12" ht="93.6" hidden="1" x14ac:dyDescent="0.3">
      <c r="A130" s="244" t="s">
        <v>900</v>
      </c>
      <c r="B130" s="16" t="s">
        <v>9</v>
      </c>
      <c r="C130" s="10" t="s">
        <v>592</v>
      </c>
      <c r="D130" s="16" t="s">
        <v>137</v>
      </c>
      <c r="E130" s="16">
        <v>150</v>
      </c>
      <c r="F130" s="17"/>
      <c r="G130" s="509">
        <f>G131</f>
        <v>0</v>
      </c>
      <c r="H130" s="509"/>
      <c r="I130" s="455">
        <f t="shared" si="2"/>
        <v>0</v>
      </c>
      <c r="J130" s="375">
        <f>J131</f>
        <v>0</v>
      </c>
      <c r="K130" s="506"/>
      <c r="L130" s="451">
        <f t="shared" si="3"/>
        <v>0</v>
      </c>
    </row>
    <row r="131" spans="1:12" ht="83.25" hidden="1" customHeight="1" x14ac:dyDescent="0.3">
      <c r="A131" s="235" t="s">
        <v>900</v>
      </c>
      <c r="B131" s="15" t="s">
        <v>49</v>
      </c>
      <c r="C131" s="17" t="s">
        <v>592</v>
      </c>
      <c r="D131" s="15" t="s">
        <v>137</v>
      </c>
      <c r="E131" s="15">
        <v>150</v>
      </c>
      <c r="F131" s="17"/>
      <c r="G131" s="513"/>
      <c r="H131" s="513"/>
      <c r="I131" s="455">
        <f t="shared" si="2"/>
        <v>0</v>
      </c>
      <c r="J131" s="371"/>
      <c r="K131" s="506"/>
      <c r="L131" s="451">
        <f t="shared" si="3"/>
        <v>0</v>
      </c>
    </row>
    <row r="132" spans="1:12" ht="27" hidden="1" customHeight="1" x14ac:dyDescent="0.3">
      <c r="A132" s="14" t="s">
        <v>838</v>
      </c>
      <c r="B132" s="16" t="s">
        <v>9</v>
      </c>
      <c r="C132" s="10" t="s">
        <v>931</v>
      </c>
      <c r="D132" s="16" t="s">
        <v>137</v>
      </c>
      <c r="E132" s="16">
        <v>150</v>
      </c>
      <c r="F132" s="17"/>
      <c r="G132" s="509">
        <f>G133</f>
        <v>0</v>
      </c>
      <c r="H132" s="509"/>
      <c r="I132" s="455">
        <f t="shared" si="2"/>
        <v>0</v>
      </c>
      <c r="J132" s="375">
        <f>J133</f>
        <v>0</v>
      </c>
      <c r="K132" s="506"/>
      <c r="L132" s="451">
        <f t="shared" si="3"/>
        <v>0</v>
      </c>
    </row>
    <row r="133" spans="1:12" ht="43.5" hidden="1" customHeight="1" x14ac:dyDescent="0.3">
      <c r="A133" s="19" t="s">
        <v>838</v>
      </c>
      <c r="B133" s="15" t="s">
        <v>76</v>
      </c>
      <c r="C133" s="17" t="s">
        <v>931</v>
      </c>
      <c r="D133" s="15" t="s">
        <v>137</v>
      </c>
      <c r="E133" s="15">
        <v>150</v>
      </c>
      <c r="F133" s="17"/>
      <c r="G133" s="521">
        <v>0</v>
      </c>
      <c r="H133" s="521"/>
      <c r="I133" s="455">
        <f t="shared" si="2"/>
        <v>0</v>
      </c>
      <c r="J133" s="371"/>
      <c r="K133" s="506"/>
      <c r="L133" s="451">
        <f t="shared" si="3"/>
        <v>0</v>
      </c>
    </row>
    <row r="134" spans="1:12" ht="43.5" hidden="1" customHeight="1" x14ac:dyDescent="0.3">
      <c r="A134" s="83" t="s">
        <v>673</v>
      </c>
      <c r="B134" s="72" t="s">
        <v>9</v>
      </c>
      <c r="C134" s="9" t="s">
        <v>670</v>
      </c>
      <c r="D134" s="72" t="s">
        <v>137</v>
      </c>
      <c r="E134" s="72">
        <v>150</v>
      </c>
      <c r="F134" s="17"/>
      <c r="G134" s="509">
        <f>G135</f>
        <v>0</v>
      </c>
      <c r="H134" s="509"/>
      <c r="I134" s="455">
        <f t="shared" si="2"/>
        <v>0</v>
      </c>
      <c r="J134" s="375">
        <f>J135</f>
        <v>0</v>
      </c>
      <c r="K134" s="506"/>
      <c r="L134" s="451">
        <f t="shared" si="3"/>
        <v>0</v>
      </c>
    </row>
    <row r="135" spans="1:12" ht="43.5" hidden="1" customHeight="1" x14ac:dyDescent="0.3">
      <c r="A135" s="100" t="s">
        <v>673</v>
      </c>
      <c r="B135" s="99" t="s">
        <v>22</v>
      </c>
      <c r="C135" s="246" t="s">
        <v>670</v>
      </c>
      <c r="D135" s="99" t="s">
        <v>137</v>
      </c>
      <c r="E135" s="99">
        <v>150</v>
      </c>
      <c r="F135" s="17"/>
      <c r="G135" s="513">
        <v>0</v>
      </c>
      <c r="H135" s="513"/>
      <c r="I135" s="455">
        <f t="shared" si="2"/>
        <v>0</v>
      </c>
      <c r="J135" s="371"/>
      <c r="K135" s="506"/>
      <c r="L135" s="451">
        <f t="shared" si="3"/>
        <v>0</v>
      </c>
    </row>
    <row r="136" spans="1:12" ht="79.5" customHeight="1" x14ac:dyDescent="0.25">
      <c r="A136" s="351" t="s">
        <v>1140</v>
      </c>
      <c r="B136" s="72" t="s">
        <v>9</v>
      </c>
      <c r="C136" s="169" t="s">
        <v>1141</v>
      </c>
      <c r="D136" s="72" t="s">
        <v>137</v>
      </c>
      <c r="E136" s="9">
        <v>150</v>
      </c>
      <c r="F136" s="17"/>
      <c r="G136" s="509">
        <f>G137</f>
        <v>1863.8</v>
      </c>
      <c r="H136" s="509"/>
      <c r="I136" s="455">
        <f t="shared" si="2"/>
        <v>1863.8</v>
      </c>
      <c r="J136" s="375">
        <f>J137</f>
        <v>1863.8</v>
      </c>
      <c r="K136" s="506"/>
      <c r="L136" s="452">
        <f t="shared" si="3"/>
        <v>1863.8</v>
      </c>
    </row>
    <row r="137" spans="1:12" ht="63.75" customHeight="1" x14ac:dyDescent="0.25">
      <c r="A137" s="352" t="s">
        <v>1140</v>
      </c>
      <c r="B137" s="99" t="s">
        <v>22</v>
      </c>
      <c r="C137" s="246" t="s">
        <v>1142</v>
      </c>
      <c r="D137" s="99" t="s">
        <v>137</v>
      </c>
      <c r="E137" s="67">
        <v>150</v>
      </c>
      <c r="F137" s="17"/>
      <c r="G137" s="513">
        <v>1863.8</v>
      </c>
      <c r="H137" s="513"/>
      <c r="I137" s="456">
        <f t="shared" si="2"/>
        <v>1863.8</v>
      </c>
      <c r="J137" s="371">
        <v>1863.8</v>
      </c>
      <c r="K137" s="506"/>
      <c r="L137" s="451">
        <f t="shared" si="3"/>
        <v>1863.8</v>
      </c>
    </row>
    <row r="138" spans="1:12" ht="63" x14ac:dyDescent="0.25">
      <c r="A138" s="14" t="s">
        <v>833</v>
      </c>
      <c r="B138" s="16" t="s">
        <v>9</v>
      </c>
      <c r="C138" s="247" t="s">
        <v>825</v>
      </c>
      <c r="D138" s="16" t="s">
        <v>137</v>
      </c>
      <c r="E138" s="16">
        <v>150</v>
      </c>
      <c r="F138" s="17"/>
      <c r="G138" s="509">
        <f>G139</f>
        <v>10581.800000000001</v>
      </c>
      <c r="H138" s="509"/>
      <c r="I138" s="455">
        <f t="shared" si="2"/>
        <v>10581.800000000001</v>
      </c>
      <c r="J138" s="375">
        <f>J139</f>
        <v>10777.9</v>
      </c>
      <c r="K138" s="506"/>
      <c r="L138" s="452">
        <f t="shared" si="3"/>
        <v>10777.9</v>
      </c>
    </row>
    <row r="139" spans="1:12" ht="63" x14ac:dyDescent="0.25">
      <c r="A139" s="19" t="s">
        <v>824</v>
      </c>
      <c r="B139" s="15" t="s">
        <v>22</v>
      </c>
      <c r="C139" s="248" t="s">
        <v>825</v>
      </c>
      <c r="D139" s="15" t="s">
        <v>137</v>
      </c>
      <c r="E139" s="15">
        <v>150</v>
      </c>
      <c r="F139" s="17"/>
      <c r="G139" s="513">
        <f>10643.6-61.8</f>
        <v>10581.800000000001</v>
      </c>
      <c r="H139" s="513"/>
      <c r="I139" s="456">
        <f t="shared" ref="I139:I202" si="4">G139+H139</f>
        <v>10581.800000000001</v>
      </c>
      <c r="J139" s="371">
        <f>10826.6-48.7</f>
        <v>10777.9</v>
      </c>
      <c r="K139" s="506"/>
      <c r="L139" s="451">
        <f t="shared" ref="L139:L202" si="5">J139+K139</f>
        <v>10777.9</v>
      </c>
    </row>
    <row r="140" spans="1:12" ht="31.5" x14ac:dyDescent="0.25">
      <c r="A140" s="83" t="s">
        <v>734</v>
      </c>
      <c r="B140" s="72" t="s">
        <v>9</v>
      </c>
      <c r="C140" s="169" t="s">
        <v>735</v>
      </c>
      <c r="D140" s="72" t="s">
        <v>137</v>
      </c>
      <c r="E140" s="72">
        <v>150</v>
      </c>
      <c r="F140" s="17"/>
      <c r="G140" s="509">
        <f>G141</f>
        <v>1815.67</v>
      </c>
      <c r="H140" s="509"/>
      <c r="I140" s="455">
        <f t="shared" si="4"/>
        <v>1815.67</v>
      </c>
      <c r="J140" s="375">
        <f>J141</f>
        <v>1803.9</v>
      </c>
      <c r="K140" s="506"/>
      <c r="L140" s="452">
        <f t="shared" si="5"/>
        <v>1803.9</v>
      </c>
    </row>
    <row r="141" spans="1:12" ht="31.5" x14ac:dyDescent="0.25">
      <c r="A141" s="100" t="s">
        <v>734</v>
      </c>
      <c r="B141" s="99" t="s">
        <v>76</v>
      </c>
      <c r="C141" s="246" t="s">
        <v>735</v>
      </c>
      <c r="D141" s="99" t="s">
        <v>137</v>
      </c>
      <c r="E141" s="99">
        <v>150</v>
      </c>
      <c r="F141" s="17"/>
      <c r="G141" s="513">
        <f>1940.5-124.83</f>
        <v>1815.67</v>
      </c>
      <c r="H141" s="513"/>
      <c r="I141" s="456">
        <f t="shared" si="4"/>
        <v>1815.67</v>
      </c>
      <c r="J141" s="371">
        <f>1927.92-124.02</f>
        <v>1803.9</v>
      </c>
      <c r="K141" s="506"/>
      <c r="L141" s="451">
        <f t="shared" si="5"/>
        <v>1803.9</v>
      </c>
    </row>
    <row r="142" spans="1:12" ht="31.5" x14ac:dyDescent="0.25">
      <c r="A142" s="83" t="s">
        <v>691</v>
      </c>
      <c r="B142" s="72" t="s">
        <v>9</v>
      </c>
      <c r="C142" s="169" t="s">
        <v>928</v>
      </c>
      <c r="D142" s="72" t="s">
        <v>137</v>
      </c>
      <c r="E142" s="72">
        <v>150</v>
      </c>
      <c r="F142" s="17"/>
      <c r="G142" s="509">
        <f>G143</f>
        <v>127.6</v>
      </c>
      <c r="H142" s="509"/>
      <c r="I142" s="455">
        <f t="shared" si="4"/>
        <v>127.6</v>
      </c>
      <c r="J142" s="375">
        <f>J143</f>
        <v>127.1</v>
      </c>
      <c r="K142" s="506"/>
      <c r="L142" s="452">
        <f t="shared" si="5"/>
        <v>127.1</v>
      </c>
    </row>
    <row r="143" spans="1:12" ht="15.75" x14ac:dyDescent="0.25">
      <c r="A143" s="19" t="s">
        <v>816</v>
      </c>
      <c r="B143" s="99" t="s">
        <v>76</v>
      </c>
      <c r="C143" s="246" t="s">
        <v>928</v>
      </c>
      <c r="D143" s="99" t="s">
        <v>137</v>
      </c>
      <c r="E143" s="99">
        <v>150</v>
      </c>
      <c r="F143" s="17"/>
      <c r="G143" s="513">
        <v>127.6</v>
      </c>
      <c r="H143" s="513"/>
      <c r="I143" s="456">
        <f t="shared" si="4"/>
        <v>127.6</v>
      </c>
      <c r="J143" s="371">
        <v>127.1</v>
      </c>
      <c r="K143" s="506"/>
      <c r="L143" s="451">
        <f t="shared" si="5"/>
        <v>127.1</v>
      </c>
    </row>
    <row r="144" spans="1:12" ht="31.15" hidden="1" x14ac:dyDescent="0.3">
      <c r="A144" s="14" t="s">
        <v>930</v>
      </c>
      <c r="B144" s="72" t="s">
        <v>9</v>
      </c>
      <c r="C144" s="169" t="s">
        <v>929</v>
      </c>
      <c r="D144" s="72" t="s">
        <v>137</v>
      </c>
      <c r="E144" s="72">
        <v>150</v>
      </c>
      <c r="F144" s="17"/>
      <c r="G144" s="509">
        <f>G145</f>
        <v>0</v>
      </c>
      <c r="H144" s="509"/>
      <c r="I144" s="455">
        <f t="shared" si="4"/>
        <v>0</v>
      </c>
      <c r="J144" s="375">
        <f>J145</f>
        <v>0</v>
      </c>
      <c r="K144" s="506"/>
      <c r="L144" s="451">
        <f t="shared" si="5"/>
        <v>0</v>
      </c>
    </row>
    <row r="145" spans="1:12" ht="31.15" hidden="1" x14ac:dyDescent="0.3">
      <c r="A145" s="19" t="s">
        <v>930</v>
      </c>
      <c r="B145" s="99" t="s">
        <v>76</v>
      </c>
      <c r="C145" s="246" t="s">
        <v>929</v>
      </c>
      <c r="D145" s="99" t="s">
        <v>137</v>
      </c>
      <c r="E145" s="99">
        <v>150</v>
      </c>
      <c r="F145" s="17"/>
      <c r="G145" s="513"/>
      <c r="H145" s="513"/>
      <c r="I145" s="455">
        <f t="shared" si="4"/>
        <v>0</v>
      </c>
      <c r="J145" s="371"/>
      <c r="K145" s="506"/>
      <c r="L145" s="451">
        <f t="shared" si="5"/>
        <v>0</v>
      </c>
    </row>
    <row r="146" spans="1:12" s="114" customFormat="1" ht="15.75" x14ac:dyDescent="0.25">
      <c r="A146" s="14" t="s">
        <v>337</v>
      </c>
      <c r="B146" s="16" t="s">
        <v>9</v>
      </c>
      <c r="C146" s="10" t="s">
        <v>530</v>
      </c>
      <c r="D146" s="27" t="s">
        <v>137</v>
      </c>
      <c r="E146" s="27" t="s">
        <v>705</v>
      </c>
      <c r="F146" s="27"/>
      <c r="G146" s="509">
        <f>SUM(G150:G155)</f>
        <v>327947.87</v>
      </c>
      <c r="H146" s="509"/>
      <c r="I146" s="455">
        <f t="shared" si="4"/>
        <v>327947.87</v>
      </c>
      <c r="J146" s="375">
        <f>SUM(J150:J155)</f>
        <v>116872.37</v>
      </c>
      <c r="K146" s="538"/>
      <c r="L146" s="452">
        <f t="shared" si="5"/>
        <v>116872.37</v>
      </c>
    </row>
    <row r="147" spans="1:12" ht="21.75" customHeight="1" x14ac:dyDescent="0.25">
      <c r="A147" s="19" t="s">
        <v>483</v>
      </c>
      <c r="B147" s="15">
        <v>903</v>
      </c>
      <c r="C147" s="17" t="s">
        <v>530</v>
      </c>
      <c r="D147" s="381" t="s">
        <v>137</v>
      </c>
      <c r="E147" s="381" t="s">
        <v>705</v>
      </c>
      <c r="F147" s="381"/>
      <c r="G147" s="513">
        <f>G151+G153</f>
        <v>1087.5</v>
      </c>
      <c r="H147" s="513"/>
      <c r="I147" s="456">
        <f t="shared" si="4"/>
        <v>1087.5</v>
      </c>
      <c r="J147" s="371">
        <f>J151</f>
        <v>787.5</v>
      </c>
      <c r="K147" s="506"/>
      <c r="L147" s="451">
        <f t="shared" si="5"/>
        <v>787.5</v>
      </c>
    </row>
    <row r="148" spans="1:12" ht="16.5" customHeight="1" x14ac:dyDescent="0.25">
      <c r="A148" s="19" t="s">
        <v>483</v>
      </c>
      <c r="B148" s="15" t="s">
        <v>49</v>
      </c>
      <c r="C148" s="17" t="s">
        <v>530</v>
      </c>
      <c r="D148" s="381" t="s">
        <v>137</v>
      </c>
      <c r="E148" s="381" t="s">
        <v>334</v>
      </c>
      <c r="F148" s="381"/>
      <c r="G148" s="513">
        <f>G150</f>
        <v>114468</v>
      </c>
      <c r="H148" s="513"/>
      <c r="I148" s="456">
        <f t="shared" si="4"/>
        <v>114468</v>
      </c>
      <c r="J148" s="371">
        <f>J150</f>
        <v>116012</v>
      </c>
      <c r="K148" s="506"/>
      <c r="L148" s="451">
        <f t="shared" si="5"/>
        <v>116012</v>
      </c>
    </row>
    <row r="149" spans="1:12" ht="27" customHeight="1" x14ac:dyDescent="0.25">
      <c r="A149" s="19" t="s">
        <v>483</v>
      </c>
      <c r="B149" s="15">
        <v>936</v>
      </c>
      <c r="C149" s="17" t="s">
        <v>530</v>
      </c>
      <c r="D149" s="381" t="s">
        <v>137</v>
      </c>
      <c r="E149" s="381" t="s">
        <v>705</v>
      </c>
      <c r="F149" s="381"/>
      <c r="G149" s="513">
        <f>G152+G154</f>
        <v>212392.37</v>
      </c>
      <c r="H149" s="513"/>
      <c r="I149" s="456">
        <f t="shared" si="4"/>
        <v>212392.37</v>
      </c>
      <c r="J149" s="371">
        <f>J152+J154</f>
        <v>72.87</v>
      </c>
      <c r="K149" s="506"/>
      <c r="L149" s="451">
        <f t="shared" si="5"/>
        <v>72.87</v>
      </c>
    </row>
    <row r="150" spans="1:12" s="116" customFormat="1" ht="51" customHeight="1" outlineLevel="2" x14ac:dyDescent="0.25">
      <c r="A150" s="37" t="s">
        <v>823</v>
      </c>
      <c r="B150" s="36" t="s">
        <v>49</v>
      </c>
      <c r="C150" s="18"/>
      <c r="D150" s="38" t="s">
        <v>137</v>
      </c>
      <c r="E150" s="38" t="s">
        <v>705</v>
      </c>
      <c r="F150" s="38"/>
      <c r="G150" s="516">
        <v>114468</v>
      </c>
      <c r="H150" s="516"/>
      <c r="I150" s="455">
        <f t="shared" si="4"/>
        <v>114468</v>
      </c>
      <c r="J150" s="370">
        <v>116012</v>
      </c>
      <c r="K150" s="540"/>
      <c r="L150" s="451">
        <f t="shared" si="5"/>
        <v>116012</v>
      </c>
    </row>
    <row r="151" spans="1:12" s="116" customFormat="1" ht="84.75" customHeight="1" outlineLevel="2" x14ac:dyDescent="0.25">
      <c r="A151" s="37" t="s">
        <v>1034</v>
      </c>
      <c r="B151" s="36" t="s">
        <v>22</v>
      </c>
      <c r="C151" s="18"/>
      <c r="D151" s="38" t="s">
        <v>137</v>
      </c>
      <c r="E151" s="38" t="s">
        <v>705</v>
      </c>
      <c r="F151" s="125"/>
      <c r="G151" s="515">
        <v>787.5</v>
      </c>
      <c r="H151" s="515"/>
      <c r="I151" s="455">
        <f t="shared" si="4"/>
        <v>787.5</v>
      </c>
      <c r="J151" s="165">
        <v>787.5</v>
      </c>
      <c r="K151" s="540"/>
      <c r="L151" s="451">
        <f t="shared" si="5"/>
        <v>787.5</v>
      </c>
    </row>
    <row r="152" spans="1:12" s="116" customFormat="1" ht="34.5" customHeight="1" outlineLevel="2" x14ac:dyDescent="0.25">
      <c r="A152" s="37" t="s">
        <v>737</v>
      </c>
      <c r="B152" s="36" t="s">
        <v>76</v>
      </c>
      <c r="C152" s="18"/>
      <c r="D152" s="38" t="s">
        <v>137</v>
      </c>
      <c r="E152" s="38" t="s">
        <v>705</v>
      </c>
      <c r="F152" s="38"/>
      <c r="G152" s="515">
        <v>72.87</v>
      </c>
      <c r="H152" s="515"/>
      <c r="I152" s="455">
        <f t="shared" si="4"/>
        <v>72.87</v>
      </c>
      <c r="J152" s="165">
        <v>72.87</v>
      </c>
      <c r="K152" s="540"/>
      <c r="L152" s="451">
        <f t="shared" si="5"/>
        <v>72.87</v>
      </c>
    </row>
    <row r="153" spans="1:12" s="116" customFormat="1" ht="119.25" customHeight="1" outlineLevel="2" x14ac:dyDescent="0.25">
      <c r="A153" s="275" t="s">
        <v>1035</v>
      </c>
      <c r="B153" s="36" t="s">
        <v>22</v>
      </c>
      <c r="C153" s="18"/>
      <c r="D153" s="38" t="s">
        <v>137</v>
      </c>
      <c r="E153" s="38" t="s">
        <v>705</v>
      </c>
      <c r="F153" s="38"/>
      <c r="G153" s="515">
        <v>300</v>
      </c>
      <c r="H153" s="515"/>
      <c r="I153" s="455">
        <f t="shared" si="4"/>
        <v>300</v>
      </c>
      <c r="J153" s="165"/>
      <c r="K153" s="540"/>
      <c r="L153" s="451">
        <f t="shared" si="5"/>
        <v>0</v>
      </c>
    </row>
    <row r="154" spans="1:12" s="116" customFormat="1" ht="126.75" customHeight="1" outlineLevel="2" x14ac:dyDescent="0.25">
      <c r="A154" s="37" t="s">
        <v>1032</v>
      </c>
      <c r="B154" s="36" t="s">
        <v>76</v>
      </c>
      <c r="C154" s="18"/>
      <c r="D154" s="38" t="s">
        <v>137</v>
      </c>
      <c r="E154" s="38" t="s">
        <v>705</v>
      </c>
      <c r="F154" s="38"/>
      <c r="G154" s="515">
        <v>212319.5</v>
      </c>
      <c r="H154" s="515"/>
      <c r="I154" s="455">
        <f t="shared" si="4"/>
        <v>212319.5</v>
      </c>
      <c r="J154" s="165">
        <v>0</v>
      </c>
      <c r="K154" s="540"/>
      <c r="L154" s="451">
        <f t="shared" si="5"/>
        <v>0</v>
      </c>
    </row>
    <row r="155" spans="1:12" s="116" customFormat="1" ht="42" customHeight="1" outlineLevel="2" x14ac:dyDescent="0.25">
      <c r="A155" s="446"/>
      <c r="B155" s="447"/>
      <c r="C155" s="448"/>
      <c r="D155" s="449"/>
      <c r="E155" s="449"/>
      <c r="F155" s="449"/>
      <c r="G155" s="522"/>
      <c r="H155" s="522"/>
      <c r="I155" s="455">
        <f t="shared" si="4"/>
        <v>0</v>
      </c>
      <c r="J155" s="450"/>
      <c r="K155" s="541"/>
      <c r="L155" s="451">
        <f t="shared" si="5"/>
        <v>0</v>
      </c>
    </row>
    <row r="156" spans="1:12" s="114" customFormat="1" ht="32.25" customHeight="1" x14ac:dyDescent="0.25">
      <c r="A156" s="14" t="s">
        <v>696</v>
      </c>
      <c r="B156" s="16" t="s">
        <v>9</v>
      </c>
      <c r="C156" s="10" t="s">
        <v>531</v>
      </c>
      <c r="D156" s="27" t="s">
        <v>137</v>
      </c>
      <c r="E156" s="27" t="s">
        <v>705</v>
      </c>
      <c r="F156" s="27"/>
      <c r="G156" s="509">
        <f>G157+G174+G176+G180+G182+G190+G184</f>
        <v>222765.9</v>
      </c>
      <c r="H156" s="509">
        <f>H157+H174+H176+H180+H182+H190+H184</f>
        <v>0</v>
      </c>
      <c r="I156" s="455">
        <f t="shared" si="4"/>
        <v>222765.9</v>
      </c>
      <c r="J156" s="375">
        <f>J157+J174+J176+J180+J182+J190+J184</f>
        <v>220750.30000000002</v>
      </c>
      <c r="K156" s="375">
        <f>K157+K174+K176+K180+K182+K190+K184</f>
        <v>0</v>
      </c>
      <c r="L156" s="452">
        <f t="shared" si="5"/>
        <v>220750.30000000002</v>
      </c>
    </row>
    <row r="157" spans="1:12" s="114" customFormat="1" ht="45" customHeight="1" x14ac:dyDescent="0.25">
      <c r="A157" s="14" t="s">
        <v>339</v>
      </c>
      <c r="B157" s="16" t="s">
        <v>9</v>
      </c>
      <c r="C157" s="10" t="s">
        <v>532</v>
      </c>
      <c r="D157" s="27" t="s">
        <v>137</v>
      </c>
      <c r="E157" s="27" t="s">
        <v>705</v>
      </c>
      <c r="F157" s="27"/>
      <c r="G157" s="509">
        <f>SUM(G161:G173)</f>
        <v>20277.5</v>
      </c>
      <c r="H157" s="509">
        <f>SUM(H161:H173)</f>
        <v>268.2</v>
      </c>
      <c r="I157" s="455">
        <f t="shared" si="4"/>
        <v>20545.7</v>
      </c>
      <c r="J157" s="375">
        <f>SUM(J161:J173)</f>
        <v>20466.599999999999</v>
      </c>
      <c r="K157" s="375">
        <f>SUM(K161:K173)</f>
        <v>268.2</v>
      </c>
      <c r="L157" s="452">
        <f t="shared" si="5"/>
        <v>20734.8</v>
      </c>
    </row>
    <row r="158" spans="1:12" ht="31.5" x14ac:dyDescent="0.25">
      <c r="A158" s="19" t="s">
        <v>339</v>
      </c>
      <c r="B158" s="15" t="s">
        <v>22</v>
      </c>
      <c r="C158" s="17" t="s">
        <v>533</v>
      </c>
      <c r="D158" s="381" t="s">
        <v>137</v>
      </c>
      <c r="E158" s="381" t="s">
        <v>705</v>
      </c>
      <c r="F158" s="381" t="s">
        <v>510</v>
      </c>
      <c r="G158" s="513">
        <f>G161+G171</f>
        <v>9670</v>
      </c>
      <c r="H158" s="513">
        <f>H161+H171</f>
        <v>268.2</v>
      </c>
      <c r="I158" s="456">
        <f t="shared" si="4"/>
        <v>9938.2000000000007</v>
      </c>
      <c r="J158" s="371">
        <f>J161+J171</f>
        <v>10124</v>
      </c>
      <c r="K158" s="506">
        <f>K171</f>
        <v>268.2</v>
      </c>
      <c r="L158" s="451">
        <f t="shared" si="5"/>
        <v>10392.200000000001</v>
      </c>
    </row>
    <row r="159" spans="1:12" ht="31.5" x14ac:dyDescent="0.25">
      <c r="A159" s="19" t="s">
        <v>339</v>
      </c>
      <c r="B159" s="15" t="s">
        <v>49</v>
      </c>
      <c r="C159" s="17" t="s">
        <v>533</v>
      </c>
      <c r="D159" s="381" t="s">
        <v>137</v>
      </c>
      <c r="E159" s="381" t="s">
        <v>705</v>
      </c>
      <c r="F159" s="381"/>
      <c r="G159" s="513">
        <f>G162+G163</f>
        <v>5459</v>
      </c>
      <c r="H159" s="513">
        <f>H162+H163</f>
        <v>0</v>
      </c>
      <c r="I159" s="456">
        <f t="shared" si="4"/>
        <v>5459</v>
      </c>
      <c r="J159" s="371">
        <f>J162+J163</f>
        <v>5448</v>
      </c>
      <c r="K159" s="506"/>
      <c r="L159" s="451">
        <f t="shared" si="5"/>
        <v>5448</v>
      </c>
    </row>
    <row r="160" spans="1:12" ht="31.5" x14ac:dyDescent="0.25">
      <c r="A160" s="19" t="s">
        <v>339</v>
      </c>
      <c r="B160" s="15" t="s">
        <v>76</v>
      </c>
      <c r="C160" s="17" t="s">
        <v>533</v>
      </c>
      <c r="D160" s="381" t="s">
        <v>137</v>
      </c>
      <c r="E160" s="381" t="s">
        <v>705</v>
      </c>
      <c r="F160" s="381"/>
      <c r="G160" s="513">
        <f>G164+G165+G166+G167+G168+G169+G170+G172+G173</f>
        <v>5148.5</v>
      </c>
      <c r="H160" s="513">
        <f>H164+H165+H166+H167+H168+H169+H170+H172+H173</f>
        <v>0</v>
      </c>
      <c r="I160" s="456">
        <f t="shared" si="4"/>
        <v>5148.5</v>
      </c>
      <c r="J160" s="371">
        <f>J164+J165+J166+J167+J168+J169+J170+J172+J173</f>
        <v>4894.6000000000004</v>
      </c>
      <c r="K160" s="506"/>
      <c r="L160" s="451">
        <f t="shared" si="5"/>
        <v>4894.6000000000004</v>
      </c>
    </row>
    <row r="161" spans="1:12" ht="102.75" customHeight="1" outlineLevel="1" x14ac:dyDescent="0.25">
      <c r="A161" s="39" t="s">
        <v>534</v>
      </c>
      <c r="B161" s="15" t="s">
        <v>22</v>
      </c>
      <c r="C161" s="20"/>
      <c r="D161" s="381" t="s">
        <v>137</v>
      </c>
      <c r="E161" s="381" t="s">
        <v>705</v>
      </c>
      <c r="F161" s="381"/>
      <c r="G161" s="511">
        <v>9670</v>
      </c>
      <c r="H161" s="511"/>
      <c r="I161" s="456">
        <f t="shared" si="4"/>
        <v>9670</v>
      </c>
      <c r="J161" s="155">
        <v>10124</v>
      </c>
      <c r="K161" s="506"/>
      <c r="L161" s="451">
        <f t="shared" si="5"/>
        <v>10124</v>
      </c>
    </row>
    <row r="162" spans="1:12" ht="63.75" customHeight="1" outlineLevel="1" x14ac:dyDescent="0.25">
      <c r="A162" s="40" t="s">
        <v>535</v>
      </c>
      <c r="B162" s="15" t="s">
        <v>49</v>
      </c>
      <c r="C162" s="20"/>
      <c r="D162" s="381" t="s">
        <v>137</v>
      </c>
      <c r="E162" s="381" t="s">
        <v>705</v>
      </c>
      <c r="F162" s="381"/>
      <c r="G162" s="511">
        <v>5459</v>
      </c>
      <c r="H162" s="511"/>
      <c r="I162" s="456">
        <f t="shared" si="4"/>
        <v>5459</v>
      </c>
      <c r="J162" s="155">
        <v>5448</v>
      </c>
      <c r="K162" s="506"/>
      <c r="L162" s="451">
        <f t="shared" si="5"/>
        <v>5448</v>
      </c>
    </row>
    <row r="163" spans="1:12" ht="75.75" customHeight="1" outlineLevel="1" x14ac:dyDescent="0.25">
      <c r="A163" s="37" t="s">
        <v>536</v>
      </c>
      <c r="B163" s="15" t="s">
        <v>49</v>
      </c>
      <c r="C163" s="17"/>
      <c r="D163" s="381" t="s">
        <v>137</v>
      </c>
      <c r="E163" s="381" t="s">
        <v>705</v>
      </c>
      <c r="F163" s="381"/>
      <c r="G163" s="511"/>
      <c r="H163" s="511"/>
      <c r="I163" s="456">
        <f t="shared" si="4"/>
        <v>0</v>
      </c>
      <c r="J163" s="155"/>
      <c r="K163" s="506"/>
      <c r="L163" s="451">
        <f t="shared" si="5"/>
        <v>0</v>
      </c>
    </row>
    <row r="164" spans="1:12" ht="125.25" customHeight="1" outlineLevel="1" x14ac:dyDescent="0.25">
      <c r="A164" s="39" t="s">
        <v>537</v>
      </c>
      <c r="B164" s="15">
        <v>936</v>
      </c>
      <c r="C164" s="22"/>
      <c r="D164" s="381" t="s">
        <v>137</v>
      </c>
      <c r="E164" s="381" t="s">
        <v>705</v>
      </c>
      <c r="F164" s="381"/>
      <c r="G164" s="511">
        <v>1267</v>
      </c>
      <c r="H164" s="511"/>
      <c r="I164" s="456">
        <f t="shared" si="4"/>
        <v>1267</v>
      </c>
      <c r="J164" s="155">
        <v>1013</v>
      </c>
      <c r="K164" s="506"/>
      <c r="L164" s="451">
        <f t="shared" si="5"/>
        <v>1013</v>
      </c>
    </row>
    <row r="165" spans="1:12" ht="91.5" customHeight="1" outlineLevel="1" x14ac:dyDescent="0.25">
      <c r="A165" s="39" t="s">
        <v>538</v>
      </c>
      <c r="B165" s="15" t="s">
        <v>76</v>
      </c>
      <c r="C165" s="17"/>
      <c r="D165" s="381" t="s">
        <v>137</v>
      </c>
      <c r="E165" s="381" t="s">
        <v>705</v>
      </c>
      <c r="F165" s="381"/>
      <c r="G165" s="511">
        <v>575</v>
      </c>
      <c r="H165" s="511"/>
      <c r="I165" s="456">
        <f t="shared" si="4"/>
        <v>575</v>
      </c>
      <c r="J165" s="155">
        <v>575</v>
      </c>
      <c r="K165" s="506"/>
      <c r="L165" s="451">
        <f t="shared" si="5"/>
        <v>575</v>
      </c>
    </row>
    <row r="166" spans="1:12" ht="76.5" customHeight="1" outlineLevel="1" x14ac:dyDescent="0.25">
      <c r="A166" s="37" t="s">
        <v>340</v>
      </c>
      <c r="B166" s="15" t="s">
        <v>76</v>
      </c>
      <c r="C166" s="117"/>
      <c r="D166" s="381" t="s">
        <v>137</v>
      </c>
      <c r="E166" s="381" t="s">
        <v>334</v>
      </c>
      <c r="F166" s="381"/>
      <c r="G166" s="511">
        <v>0.1</v>
      </c>
      <c r="H166" s="511"/>
      <c r="I166" s="456">
        <f t="shared" si="4"/>
        <v>0.1</v>
      </c>
      <c r="J166" s="155">
        <v>0.1</v>
      </c>
      <c r="K166" s="506"/>
      <c r="L166" s="451">
        <f t="shared" si="5"/>
        <v>0.1</v>
      </c>
    </row>
    <row r="167" spans="1:12" ht="108" customHeight="1" outlineLevel="1" x14ac:dyDescent="0.25">
      <c r="A167" s="39" t="s">
        <v>539</v>
      </c>
      <c r="B167" s="15">
        <v>936</v>
      </c>
      <c r="C167" s="22"/>
      <c r="D167" s="381" t="s">
        <v>137</v>
      </c>
      <c r="E167" s="381" t="s">
        <v>705</v>
      </c>
      <c r="F167" s="381"/>
      <c r="G167" s="511">
        <v>122.4</v>
      </c>
      <c r="H167" s="511"/>
      <c r="I167" s="456">
        <f t="shared" si="4"/>
        <v>122.4</v>
      </c>
      <c r="J167" s="155">
        <v>122.5</v>
      </c>
      <c r="K167" s="506"/>
      <c r="L167" s="451">
        <f t="shared" si="5"/>
        <v>122.5</v>
      </c>
    </row>
    <row r="168" spans="1:12" ht="75" customHeight="1" outlineLevel="1" x14ac:dyDescent="0.25">
      <c r="A168" s="37" t="s">
        <v>341</v>
      </c>
      <c r="B168" s="15" t="s">
        <v>76</v>
      </c>
      <c r="C168" s="20"/>
      <c r="D168" s="381" t="s">
        <v>137</v>
      </c>
      <c r="E168" s="381" t="s">
        <v>705</v>
      </c>
      <c r="F168" s="381"/>
      <c r="G168" s="511">
        <v>2084</v>
      </c>
      <c r="H168" s="511"/>
      <c r="I168" s="456">
        <f t="shared" si="4"/>
        <v>2084</v>
      </c>
      <c r="J168" s="155">
        <v>2084</v>
      </c>
      <c r="K168" s="506"/>
      <c r="L168" s="451">
        <f t="shared" si="5"/>
        <v>2084</v>
      </c>
    </row>
    <row r="169" spans="1:12" ht="70.5" customHeight="1" outlineLevel="1" x14ac:dyDescent="0.25">
      <c r="A169" s="37" t="s">
        <v>540</v>
      </c>
      <c r="B169" s="15" t="s">
        <v>76</v>
      </c>
      <c r="C169" s="20"/>
      <c r="D169" s="381"/>
      <c r="E169" s="381"/>
      <c r="F169" s="381"/>
      <c r="G169" s="511"/>
      <c r="H169" s="511"/>
      <c r="I169" s="456">
        <f t="shared" si="4"/>
        <v>0</v>
      </c>
      <c r="J169" s="155"/>
      <c r="K169" s="506"/>
      <c r="L169" s="451">
        <f t="shared" si="5"/>
        <v>0</v>
      </c>
    </row>
    <row r="170" spans="1:12" ht="63" customHeight="1" outlineLevel="1" x14ac:dyDescent="0.25">
      <c r="A170" s="37" t="s">
        <v>541</v>
      </c>
      <c r="B170" s="15" t="s">
        <v>76</v>
      </c>
      <c r="C170" s="20"/>
      <c r="D170" s="381" t="s">
        <v>137</v>
      </c>
      <c r="E170" s="381" t="s">
        <v>334</v>
      </c>
      <c r="F170" s="381"/>
      <c r="G170" s="511"/>
      <c r="H170" s="511"/>
      <c r="I170" s="456">
        <f t="shared" si="4"/>
        <v>0</v>
      </c>
      <c r="J170" s="155"/>
      <c r="K170" s="506"/>
      <c r="L170" s="451">
        <f t="shared" si="5"/>
        <v>0</v>
      </c>
    </row>
    <row r="171" spans="1:12" ht="68.25" customHeight="1" outlineLevel="1" x14ac:dyDescent="0.25">
      <c r="A171" s="37" t="s">
        <v>835</v>
      </c>
      <c r="B171" s="15" t="s">
        <v>22</v>
      </c>
      <c r="C171" s="20"/>
      <c r="D171" s="381"/>
      <c r="E171" s="381" t="s">
        <v>705</v>
      </c>
      <c r="F171" s="381"/>
      <c r="G171" s="523">
        <v>0</v>
      </c>
      <c r="H171" s="523">
        <v>268.2</v>
      </c>
      <c r="I171" s="456">
        <f t="shared" si="4"/>
        <v>268.2</v>
      </c>
      <c r="J171" s="443">
        <v>0</v>
      </c>
      <c r="K171" s="443">
        <v>268.2</v>
      </c>
      <c r="L171" s="451">
        <f t="shared" si="5"/>
        <v>268.2</v>
      </c>
    </row>
    <row r="172" spans="1:12" ht="63.75" customHeight="1" outlineLevel="1" x14ac:dyDescent="0.25">
      <c r="A172" s="40" t="s">
        <v>342</v>
      </c>
      <c r="B172" s="15" t="s">
        <v>76</v>
      </c>
      <c r="C172" s="20"/>
      <c r="D172" s="381" t="s">
        <v>137</v>
      </c>
      <c r="E172" s="381" t="s">
        <v>705</v>
      </c>
      <c r="F172" s="381" t="s">
        <v>511</v>
      </c>
      <c r="G172" s="511"/>
      <c r="H172" s="511"/>
      <c r="I172" s="456">
        <f t="shared" si="4"/>
        <v>0</v>
      </c>
      <c r="J172" s="155"/>
      <c r="K172" s="506"/>
      <c r="L172" s="451">
        <f t="shared" si="5"/>
        <v>0</v>
      </c>
    </row>
    <row r="173" spans="1:12" ht="49.5" customHeight="1" outlineLevel="1" x14ac:dyDescent="0.25">
      <c r="A173" s="40" t="s">
        <v>834</v>
      </c>
      <c r="B173" s="15" t="s">
        <v>76</v>
      </c>
      <c r="C173" s="20"/>
      <c r="D173" s="381" t="s">
        <v>137</v>
      </c>
      <c r="E173" s="381" t="s">
        <v>705</v>
      </c>
      <c r="F173" s="381"/>
      <c r="G173" s="511">
        <v>1100</v>
      </c>
      <c r="H173" s="511"/>
      <c r="I173" s="456">
        <f t="shared" si="4"/>
        <v>1100</v>
      </c>
      <c r="J173" s="155">
        <v>1100</v>
      </c>
      <c r="K173" s="506"/>
      <c r="L173" s="451">
        <f t="shared" si="5"/>
        <v>1100</v>
      </c>
    </row>
    <row r="174" spans="1:12" s="114" customFormat="1" ht="63" x14ac:dyDescent="0.25">
      <c r="A174" s="14" t="s">
        <v>487</v>
      </c>
      <c r="B174" s="16" t="s">
        <v>9</v>
      </c>
      <c r="C174" s="10" t="s">
        <v>542</v>
      </c>
      <c r="D174" s="27" t="s">
        <v>137</v>
      </c>
      <c r="E174" s="27" t="s">
        <v>705</v>
      </c>
      <c r="F174" s="27"/>
      <c r="G174" s="509">
        <f>G175</f>
        <v>9257</v>
      </c>
      <c r="H174" s="509"/>
      <c r="I174" s="455">
        <f t="shared" si="4"/>
        <v>9257</v>
      </c>
      <c r="J174" s="375">
        <f>J175</f>
        <v>9257</v>
      </c>
      <c r="K174" s="538"/>
      <c r="L174" s="452">
        <f t="shared" si="5"/>
        <v>9257</v>
      </c>
    </row>
    <row r="175" spans="1:12" s="115" customFormat="1" ht="47.25" x14ac:dyDescent="0.25">
      <c r="A175" s="19" t="s">
        <v>487</v>
      </c>
      <c r="B175" s="15" t="s">
        <v>76</v>
      </c>
      <c r="C175" s="17" t="s">
        <v>542</v>
      </c>
      <c r="D175" s="381" t="s">
        <v>137</v>
      </c>
      <c r="E175" s="381" t="s">
        <v>705</v>
      </c>
      <c r="F175" s="381"/>
      <c r="G175" s="513">
        <v>9257</v>
      </c>
      <c r="H175" s="513"/>
      <c r="I175" s="456">
        <f t="shared" si="4"/>
        <v>9257</v>
      </c>
      <c r="J175" s="371">
        <v>9257</v>
      </c>
      <c r="K175" s="539"/>
      <c r="L175" s="451">
        <f t="shared" si="5"/>
        <v>9257</v>
      </c>
    </row>
    <row r="176" spans="1:12" s="114" customFormat="1" ht="78.75" x14ac:dyDescent="0.25">
      <c r="A176" s="14" t="s">
        <v>704</v>
      </c>
      <c r="B176" s="16" t="s">
        <v>9</v>
      </c>
      <c r="C176" s="10" t="s">
        <v>543</v>
      </c>
      <c r="D176" s="27" t="s">
        <v>137</v>
      </c>
      <c r="E176" s="27" t="s">
        <v>705</v>
      </c>
      <c r="F176" s="27"/>
      <c r="G176" s="509">
        <f>G177</f>
        <v>2054.6999999999998</v>
      </c>
      <c r="H176" s="509"/>
      <c r="I176" s="455">
        <f t="shared" si="4"/>
        <v>2054.6999999999998</v>
      </c>
      <c r="J176" s="375">
        <f>J177</f>
        <v>2054.6999999999998</v>
      </c>
      <c r="K176" s="538"/>
      <c r="L176" s="452">
        <f t="shared" si="5"/>
        <v>2054.6999999999998</v>
      </c>
    </row>
    <row r="177" spans="1:12" s="115" customFormat="1" ht="78.75" customHeight="1" x14ac:dyDescent="0.25">
      <c r="A177" s="19" t="s">
        <v>704</v>
      </c>
      <c r="B177" s="15" t="s">
        <v>22</v>
      </c>
      <c r="C177" s="17" t="s">
        <v>543</v>
      </c>
      <c r="D177" s="381" t="s">
        <v>137</v>
      </c>
      <c r="E177" s="381" t="s">
        <v>705</v>
      </c>
      <c r="F177" s="381"/>
      <c r="G177" s="513">
        <v>2054.6999999999998</v>
      </c>
      <c r="H177" s="513"/>
      <c r="I177" s="456">
        <f t="shared" si="4"/>
        <v>2054.6999999999998</v>
      </c>
      <c r="J177" s="371">
        <v>2054.6999999999998</v>
      </c>
      <c r="K177" s="539"/>
      <c r="L177" s="451">
        <f t="shared" si="5"/>
        <v>2054.6999999999998</v>
      </c>
    </row>
    <row r="178" spans="1:12" s="114" customFormat="1" ht="46.9" hidden="1" x14ac:dyDescent="0.3">
      <c r="A178" s="14" t="s">
        <v>544</v>
      </c>
      <c r="B178" s="16" t="s">
        <v>9</v>
      </c>
      <c r="C178" s="10" t="s">
        <v>545</v>
      </c>
      <c r="D178" s="27" t="s">
        <v>335</v>
      </c>
      <c r="E178" s="27" t="s">
        <v>334</v>
      </c>
      <c r="F178" s="27"/>
      <c r="G178" s="518">
        <f>G179</f>
        <v>0</v>
      </c>
      <c r="H178" s="518"/>
      <c r="I178" s="455">
        <f t="shared" si="4"/>
        <v>0</v>
      </c>
      <c r="J178" s="373">
        <f>J179</f>
        <v>0</v>
      </c>
      <c r="K178" s="538"/>
      <c r="L178" s="451">
        <f t="shared" si="5"/>
        <v>0</v>
      </c>
    </row>
    <row r="179" spans="1:12" s="115" customFormat="1" ht="46.9" hidden="1" x14ac:dyDescent="0.3">
      <c r="A179" s="19" t="s">
        <v>485</v>
      </c>
      <c r="B179" s="15" t="s">
        <v>76</v>
      </c>
      <c r="C179" s="17" t="s">
        <v>545</v>
      </c>
      <c r="D179" s="381" t="s">
        <v>335</v>
      </c>
      <c r="E179" s="381" t="s">
        <v>334</v>
      </c>
      <c r="F179" s="381"/>
      <c r="G179" s="524">
        <v>0</v>
      </c>
      <c r="H179" s="524"/>
      <c r="I179" s="455">
        <f t="shared" si="4"/>
        <v>0</v>
      </c>
      <c r="J179" s="427">
        <v>0</v>
      </c>
      <c r="K179" s="539"/>
      <c r="L179" s="451">
        <f t="shared" si="5"/>
        <v>0</v>
      </c>
    </row>
    <row r="180" spans="1:12" ht="63" x14ac:dyDescent="0.25">
      <c r="A180" s="257" t="s">
        <v>361</v>
      </c>
      <c r="B180" s="258" t="s">
        <v>9</v>
      </c>
      <c r="C180" s="10" t="s">
        <v>546</v>
      </c>
      <c r="D180" s="27" t="s">
        <v>137</v>
      </c>
      <c r="E180" s="27" t="s">
        <v>705</v>
      </c>
      <c r="F180" s="27"/>
      <c r="G180" s="509">
        <f>G181</f>
        <v>5672.3</v>
      </c>
      <c r="H180" s="509"/>
      <c r="I180" s="455">
        <f t="shared" si="4"/>
        <v>5672.3</v>
      </c>
      <c r="J180" s="375">
        <f>J181</f>
        <v>3545.2</v>
      </c>
      <c r="K180" s="506"/>
      <c r="L180" s="452">
        <f t="shared" si="5"/>
        <v>3545.2</v>
      </c>
    </row>
    <row r="181" spans="1:12" s="115" customFormat="1" ht="63" x14ac:dyDescent="0.25">
      <c r="A181" s="19" t="s">
        <v>361</v>
      </c>
      <c r="B181" s="255" t="s">
        <v>76</v>
      </c>
      <c r="C181" s="17" t="s">
        <v>546</v>
      </c>
      <c r="D181" s="381" t="s">
        <v>137</v>
      </c>
      <c r="E181" s="381" t="s">
        <v>705</v>
      </c>
      <c r="F181" s="381"/>
      <c r="G181" s="513">
        <v>5672.3</v>
      </c>
      <c r="H181" s="513"/>
      <c r="I181" s="456">
        <f t="shared" si="4"/>
        <v>5672.3</v>
      </c>
      <c r="J181" s="371">
        <v>3545.2</v>
      </c>
      <c r="K181" s="539"/>
      <c r="L181" s="451">
        <f t="shared" si="5"/>
        <v>3545.2</v>
      </c>
    </row>
    <row r="182" spans="1:12" s="114" customFormat="1" ht="33" hidden="1" customHeight="1" x14ac:dyDescent="0.3">
      <c r="A182" s="14" t="s">
        <v>338</v>
      </c>
      <c r="B182" s="16" t="s">
        <v>9</v>
      </c>
      <c r="C182" s="10" t="s">
        <v>547</v>
      </c>
      <c r="D182" s="27" t="s">
        <v>137</v>
      </c>
      <c r="E182" s="27" t="s">
        <v>705</v>
      </c>
      <c r="F182" s="27"/>
      <c r="G182" s="509">
        <f>G183</f>
        <v>0</v>
      </c>
      <c r="H182" s="509"/>
      <c r="I182" s="455">
        <f t="shared" si="4"/>
        <v>0</v>
      </c>
      <c r="J182" s="375">
        <f>J183</f>
        <v>0</v>
      </c>
      <c r="K182" s="538"/>
      <c r="L182" s="451">
        <f t="shared" si="5"/>
        <v>0</v>
      </c>
    </row>
    <row r="183" spans="1:12" ht="31.15" hidden="1" x14ac:dyDescent="0.3">
      <c r="A183" s="19" t="s">
        <v>486</v>
      </c>
      <c r="B183" s="15" t="s">
        <v>49</v>
      </c>
      <c r="C183" s="17" t="s">
        <v>547</v>
      </c>
      <c r="D183" s="381" t="s">
        <v>137</v>
      </c>
      <c r="E183" s="381" t="s">
        <v>705</v>
      </c>
      <c r="F183" s="381" t="s">
        <v>509</v>
      </c>
      <c r="G183" s="513"/>
      <c r="H183" s="513"/>
      <c r="I183" s="455">
        <f t="shared" si="4"/>
        <v>0</v>
      </c>
      <c r="J183" s="371"/>
      <c r="K183" s="506"/>
      <c r="L183" s="451">
        <f t="shared" si="5"/>
        <v>0</v>
      </c>
    </row>
    <row r="184" spans="1:12" ht="47.25" x14ac:dyDescent="0.25">
      <c r="A184" s="14" t="s">
        <v>544</v>
      </c>
      <c r="B184" s="16" t="s">
        <v>9</v>
      </c>
      <c r="C184" s="10" t="s">
        <v>668</v>
      </c>
      <c r="D184" s="27" t="s">
        <v>335</v>
      </c>
      <c r="E184" s="27" t="s">
        <v>705</v>
      </c>
      <c r="F184" s="27"/>
      <c r="G184" s="509">
        <f>G185</f>
        <v>1.3</v>
      </c>
      <c r="H184" s="509"/>
      <c r="I184" s="455">
        <f t="shared" si="4"/>
        <v>1.3</v>
      </c>
      <c r="J184" s="375">
        <f>J185</f>
        <v>1.1000000000000001</v>
      </c>
      <c r="K184" s="506"/>
      <c r="L184" s="452">
        <f t="shared" si="5"/>
        <v>1.1000000000000001</v>
      </c>
    </row>
    <row r="185" spans="1:12" ht="47.25" x14ac:dyDescent="0.25">
      <c r="A185" s="19" t="s">
        <v>485</v>
      </c>
      <c r="B185" s="15" t="s">
        <v>76</v>
      </c>
      <c r="C185" s="17" t="s">
        <v>668</v>
      </c>
      <c r="D185" s="381" t="s">
        <v>335</v>
      </c>
      <c r="E185" s="381" t="s">
        <v>705</v>
      </c>
      <c r="F185" s="381"/>
      <c r="G185" s="513">
        <v>1.3</v>
      </c>
      <c r="H185" s="513"/>
      <c r="I185" s="456">
        <f t="shared" si="4"/>
        <v>1.3</v>
      </c>
      <c r="J185" s="371">
        <v>1.1000000000000001</v>
      </c>
      <c r="K185" s="506"/>
      <c r="L185" s="451">
        <f t="shared" si="5"/>
        <v>1.1000000000000001</v>
      </c>
    </row>
    <row r="186" spans="1:12" s="115" customFormat="1" ht="46.9" hidden="1" x14ac:dyDescent="0.3">
      <c r="A186" s="14" t="s">
        <v>695</v>
      </c>
      <c r="B186" s="16" t="s">
        <v>9</v>
      </c>
      <c r="C186" s="10" t="s">
        <v>548</v>
      </c>
      <c r="D186" s="27" t="s">
        <v>137</v>
      </c>
      <c r="E186" s="27" t="s">
        <v>705</v>
      </c>
      <c r="F186" s="27"/>
      <c r="G186" s="518">
        <f>G187</f>
        <v>0</v>
      </c>
      <c r="H186" s="518"/>
      <c r="I186" s="455">
        <f t="shared" si="4"/>
        <v>0</v>
      </c>
      <c r="J186" s="373">
        <f>J187</f>
        <v>0</v>
      </c>
      <c r="K186" s="539"/>
      <c r="L186" s="451">
        <f t="shared" si="5"/>
        <v>0</v>
      </c>
    </row>
    <row r="187" spans="1:12" s="115" customFormat="1" ht="48.75" hidden="1" customHeight="1" x14ac:dyDescent="0.3">
      <c r="A187" s="19" t="s">
        <v>695</v>
      </c>
      <c r="B187" s="15" t="s">
        <v>76</v>
      </c>
      <c r="C187" s="17" t="s">
        <v>548</v>
      </c>
      <c r="D187" s="381" t="s">
        <v>137</v>
      </c>
      <c r="E187" s="381" t="s">
        <v>705</v>
      </c>
      <c r="F187" s="381"/>
      <c r="G187" s="511"/>
      <c r="H187" s="511"/>
      <c r="I187" s="455">
        <f t="shared" si="4"/>
        <v>0</v>
      </c>
      <c r="J187" s="155"/>
      <c r="K187" s="539"/>
      <c r="L187" s="451">
        <f t="shared" si="5"/>
        <v>0</v>
      </c>
    </row>
    <row r="188" spans="1:12" s="115" customFormat="1" ht="46.9" hidden="1" x14ac:dyDescent="0.3">
      <c r="A188" s="14" t="s">
        <v>549</v>
      </c>
      <c r="B188" s="16" t="s">
        <v>9</v>
      </c>
      <c r="C188" s="10" t="s">
        <v>550</v>
      </c>
      <c r="D188" s="27" t="s">
        <v>137</v>
      </c>
      <c r="E188" s="27" t="s">
        <v>334</v>
      </c>
      <c r="F188" s="27"/>
      <c r="G188" s="518">
        <f>G189</f>
        <v>0</v>
      </c>
      <c r="H188" s="518"/>
      <c r="I188" s="455">
        <f t="shared" si="4"/>
        <v>0</v>
      </c>
      <c r="J188" s="373">
        <f>J189</f>
        <v>0</v>
      </c>
      <c r="K188" s="539"/>
      <c r="L188" s="451">
        <f t="shared" si="5"/>
        <v>0</v>
      </c>
    </row>
    <row r="189" spans="1:12" s="115" customFormat="1" ht="46.9" hidden="1" x14ac:dyDescent="0.3">
      <c r="A189" s="19" t="s">
        <v>549</v>
      </c>
      <c r="B189" s="15" t="s">
        <v>76</v>
      </c>
      <c r="C189" s="17" t="s">
        <v>550</v>
      </c>
      <c r="D189" s="381" t="s">
        <v>137</v>
      </c>
      <c r="E189" s="381" t="s">
        <v>334</v>
      </c>
      <c r="F189" s="381"/>
      <c r="G189" s="511"/>
      <c r="H189" s="511"/>
      <c r="I189" s="455">
        <f t="shared" si="4"/>
        <v>0</v>
      </c>
      <c r="J189" s="155"/>
      <c r="K189" s="539"/>
      <c r="L189" s="451">
        <f t="shared" si="5"/>
        <v>0</v>
      </c>
    </row>
    <row r="190" spans="1:12" ht="24.75" customHeight="1" x14ac:dyDescent="0.25">
      <c r="A190" s="14" t="s">
        <v>675</v>
      </c>
      <c r="B190" s="258" t="s">
        <v>9</v>
      </c>
      <c r="C190" s="10" t="s">
        <v>551</v>
      </c>
      <c r="D190" s="27" t="s">
        <v>137</v>
      </c>
      <c r="E190" s="27" t="s">
        <v>705</v>
      </c>
      <c r="F190" s="27"/>
      <c r="G190" s="509">
        <f>G191+G192</f>
        <v>185503.1</v>
      </c>
      <c r="H190" s="509">
        <f>H191+H192</f>
        <v>-268.2</v>
      </c>
      <c r="I190" s="455">
        <f>G190+H190</f>
        <v>185234.9</v>
      </c>
      <c r="J190" s="375">
        <f>J191+J192</f>
        <v>185425.7</v>
      </c>
      <c r="K190" s="375">
        <f>K191+K192</f>
        <v>-268.2</v>
      </c>
      <c r="L190" s="452">
        <f t="shared" si="5"/>
        <v>185157.5</v>
      </c>
    </row>
    <row r="191" spans="1:12" s="118" customFormat="1" ht="26.25" customHeight="1" x14ac:dyDescent="0.25">
      <c r="A191" s="19" t="s">
        <v>675</v>
      </c>
      <c r="B191" s="255" t="s">
        <v>22</v>
      </c>
      <c r="C191" s="17" t="s">
        <v>552</v>
      </c>
      <c r="D191" s="381" t="s">
        <v>137</v>
      </c>
      <c r="E191" s="381" t="s">
        <v>705</v>
      </c>
      <c r="F191" s="381"/>
      <c r="G191" s="513">
        <f>G193+G194+G195</f>
        <v>185367.2</v>
      </c>
      <c r="H191" s="513">
        <f>H193+H194+H195</f>
        <v>-268.2</v>
      </c>
      <c r="I191" s="456">
        <f t="shared" si="4"/>
        <v>185099</v>
      </c>
      <c r="J191" s="371">
        <f>J193+J194+J195</f>
        <v>185367.2</v>
      </c>
      <c r="K191" s="371">
        <f>K193+K194+K195</f>
        <v>-268.2</v>
      </c>
      <c r="L191" s="451">
        <f t="shared" si="5"/>
        <v>185099</v>
      </c>
    </row>
    <row r="192" spans="1:12" s="118" customFormat="1" ht="22.5" customHeight="1" x14ac:dyDescent="0.25">
      <c r="A192" s="19" t="s">
        <v>675</v>
      </c>
      <c r="B192" s="255" t="s">
        <v>76</v>
      </c>
      <c r="C192" s="17" t="s">
        <v>552</v>
      </c>
      <c r="D192" s="381" t="s">
        <v>137</v>
      </c>
      <c r="E192" s="381" t="s">
        <v>705</v>
      </c>
      <c r="F192" s="381"/>
      <c r="G192" s="513">
        <f>G196</f>
        <v>135.9</v>
      </c>
      <c r="H192" s="513">
        <f>H196</f>
        <v>0</v>
      </c>
      <c r="I192" s="456">
        <f t="shared" si="4"/>
        <v>135.9</v>
      </c>
      <c r="J192" s="371">
        <f>J196</f>
        <v>58.5</v>
      </c>
      <c r="K192" s="371">
        <f>K196</f>
        <v>0</v>
      </c>
      <c r="L192" s="451">
        <f t="shared" si="5"/>
        <v>58.5</v>
      </c>
    </row>
    <row r="193" spans="1:12" s="118" customFormat="1" ht="47.25" customHeight="1" outlineLevel="1" x14ac:dyDescent="0.25">
      <c r="A193" s="37" t="s">
        <v>343</v>
      </c>
      <c r="B193" s="41" t="s">
        <v>22</v>
      </c>
      <c r="C193" s="18"/>
      <c r="D193" s="38"/>
      <c r="E193" s="38"/>
      <c r="F193" s="38"/>
      <c r="G193" s="515">
        <v>31158</v>
      </c>
      <c r="H193" s="515"/>
      <c r="I193" s="456">
        <f t="shared" si="4"/>
        <v>31158</v>
      </c>
      <c r="J193" s="165">
        <v>31158</v>
      </c>
      <c r="K193" s="542"/>
      <c r="L193" s="451">
        <f t="shared" si="5"/>
        <v>31158</v>
      </c>
    </row>
    <row r="194" spans="1:12" ht="63" customHeight="1" outlineLevel="1" x14ac:dyDescent="0.25">
      <c r="A194" s="37" t="s">
        <v>553</v>
      </c>
      <c r="B194" s="41" t="s">
        <v>22</v>
      </c>
      <c r="C194" s="18"/>
      <c r="D194" s="38"/>
      <c r="E194" s="38"/>
      <c r="F194" s="38"/>
      <c r="G194" s="515">
        <v>153941</v>
      </c>
      <c r="H194" s="515"/>
      <c r="I194" s="456">
        <f t="shared" si="4"/>
        <v>153941</v>
      </c>
      <c r="J194" s="165">
        <v>153941</v>
      </c>
      <c r="K194" s="506"/>
      <c r="L194" s="451">
        <f t="shared" si="5"/>
        <v>153941</v>
      </c>
    </row>
    <row r="195" spans="1:12" ht="67.5" customHeight="1" outlineLevel="1" x14ac:dyDescent="0.25">
      <c r="A195" s="37" t="s">
        <v>835</v>
      </c>
      <c r="B195" s="41" t="s">
        <v>22</v>
      </c>
      <c r="C195" s="18"/>
      <c r="D195" s="38"/>
      <c r="E195" s="38"/>
      <c r="F195" s="38"/>
      <c r="G195" s="525">
        <v>268.2</v>
      </c>
      <c r="H195" s="525">
        <v>-268.2</v>
      </c>
      <c r="I195" s="456">
        <f t="shared" si="4"/>
        <v>0</v>
      </c>
      <c r="J195" s="399">
        <v>268.2</v>
      </c>
      <c r="K195" s="506">
        <v>-268.2</v>
      </c>
      <c r="L195" s="451">
        <f t="shared" si="5"/>
        <v>0</v>
      </c>
    </row>
    <row r="196" spans="1:12" s="176" customFormat="1" ht="59.25" customHeight="1" outlineLevel="1" x14ac:dyDescent="0.25">
      <c r="A196" s="37" t="s">
        <v>549</v>
      </c>
      <c r="B196" s="41" t="s">
        <v>76</v>
      </c>
      <c r="C196" s="18"/>
      <c r="D196" s="38"/>
      <c r="E196" s="38"/>
      <c r="F196" s="381"/>
      <c r="G196" s="515">
        <v>135.9</v>
      </c>
      <c r="H196" s="515"/>
      <c r="I196" s="456">
        <f t="shared" si="4"/>
        <v>135.9</v>
      </c>
      <c r="J196" s="165">
        <v>58.5</v>
      </c>
      <c r="K196" s="543"/>
      <c r="L196" s="451">
        <f t="shared" si="5"/>
        <v>58.5</v>
      </c>
    </row>
    <row r="197" spans="1:12" s="114" customFormat="1" ht="23.25" customHeight="1" x14ac:dyDescent="0.25">
      <c r="A197" s="14" t="s">
        <v>344</v>
      </c>
      <c r="B197" s="16" t="s">
        <v>9</v>
      </c>
      <c r="C197" s="10" t="s">
        <v>554</v>
      </c>
      <c r="D197" s="27" t="s">
        <v>137</v>
      </c>
      <c r="E197" s="27" t="s">
        <v>705</v>
      </c>
      <c r="F197" s="27"/>
      <c r="G197" s="509">
        <f>G198+G206+G204+G202</f>
        <v>15858.599999999999</v>
      </c>
      <c r="H197" s="509"/>
      <c r="I197" s="455">
        <f t="shared" si="4"/>
        <v>15858.599999999999</v>
      </c>
      <c r="J197" s="375">
        <f>J198+J204+J202</f>
        <v>15858.599999999999</v>
      </c>
      <c r="K197" s="538"/>
      <c r="L197" s="452">
        <f t="shared" si="5"/>
        <v>15858.599999999999</v>
      </c>
    </row>
    <row r="198" spans="1:12" ht="63" x14ac:dyDescent="0.25">
      <c r="A198" s="14" t="s">
        <v>345</v>
      </c>
      <c r="B198" s="16" t="s">
        <v>9</v>
      </c>
      <c r="C198" s="10" t="s">
        <v>555</v>
      </c>
      <c r="D198" s="27" t="s">
        <v>137</v>
      </c>
      <c r="E198" s="27" t="s">
        <v>705</v>
      </c>
      <c r="F198" s="27"/>
      <c r="G198" s="509">
        <f>G199+G200+G201</f>
        <v>2890.7</v>
      </c>
      <c r="H198" s="509"/>
      <c r="I198" s="455">
        <f t="shared" si="4"/>
        <v>2890.7</v>
      </c>
      <c r="J198" s="375">
        <f>J199+J200+J201</f>
        <v>2890.7</v>
      </c>
      <c r="K198" s="506"/>
      <c r="L198" s="452">
        <f t="shared" si="5"/>
        <v>2890.7</v>
      </c>
    </row>
    <row r="199" spans="1:12" ht="64.5" customHeight="1" x14ac:dyDescent="0.25">
      <c r="A199" s="19" t="s">
        <v>488</v>
      </c>
      <c r="B199" s="15" t="s">
        <v>49</v>
      </c>
      <c r="C199" s="17" t="s">
        <v>555</v>
      </c>
      <c r="D199" s="381" t="s">
        <v>137</v>
      </c>
      <c r="E199" s="381" t="s">
        <v>705</v>
      </c>
      <c r="F199" s="381"/>
      <c r="G199" s="513">
        <v>309.10000000000002</v>
      </c>
      <c r="H199" s="513"/>
      <c r="I199" s="456">
        <f t="shared" si="4"/>
        <v>309.10000000000002</v>
      </c>
      <c r="J199" s="371">
        <v>309.10000000000002</v>
      </c>
      <c r="K199" s="506"/>
      <c r="L199" s="451">
        <f t="shared" si="5"/>
        <v>309.10000000000002</v>
      </c>
    </row>
    <row r="200" spans="1:12" ht="62.25" hidden="1" customHeight="1" x14ac:dyDescent="0.3">
      <c r="A200" s="19" t="s">
        <v>488</v>
      </c>
      <c r="B200" s="15" t="s">
        <v>70</v>
      </c>
      <c r="C200" s="17" t="s">
        <v>555</v>
      </c>
      <c r="D200" s="381" t="s">
        <v>137</v>
      </c>
      <c r="E200" s="381" t="s">
        <v>705</v>
      </c>
      <c r="F200" s="381"/>
      <c r="G200" s="513"/>
      <c r="H200" s="513"/>
      <c r="I200" s="456">
        <f t="shared" si="4"/>
        <v>0</v>
      </c>
      <c r="J200" s="371"/>
      <c r="K200" s="506"/>
      <c r="L200" s="451">
        <f t="shared" si="5"/>
        <v>0</v>
      </c>
    </row>
    <row r="201" spans="1:12" ht="62.25" customHeight="1" x14ac:dyDescent="0.25">
      <c r="A201" s="19" t="s">
        <v>488</v>
      </c>
      <c r="B201" s="15" t="s">
        <v>76</v>
      </c>
      <c r="C201" s="17" t="s">
        <v>555</v>
      </c>
      <c r="D201" s="381" t="s">
        <v>137</v>
      </c>
      <c r="E201" s="381" t="s">
        <v>705</v>
      </c>
      <c r="F201" s="381"/>
      <c r="G201" s="513">
        <v>2581.6</v>
      </c>
      <c r="H201" s="513"/>
      <c r="I201" s="456">
        <f t="shared" si="4"/>
        <v>2581.6</v>
      </c>
      <c r="J201" s="371">
        <v>2581.6</v>
      </c>
      <c r="K201" s="506"/>
      <c r="L201" s="451">
        <f t="shared" si="5"/>
        <v>2581.6</v>
      </c>
    </row>
    <row r="202" spans="1:12" ht="62.25" customHeight="1" x14ac:dyDescent="0.25">
      <c r="A202" s="83" t="s">
        <v>836</v>
      </c>
      <c r="B202" s="72" t="s">
        <v>9</v>
      </c>
      <c r="C202" s="9" t="s">
        <v>837</v>
      </c>
      <c r="D202" s="75" t="s">
        <v>137</v>
      </c>
      <c r="E202" s="75" t="s">
        <v>705</v>
      </c>
      <c r="F202" s="381"/>
      <c r="G202" s="509">
        <f>G203</f>
        <v>12967.9</v>
      </c>
      <c r="H202" s="509"/>
      <c r="I202" s="455">
        <f t="shared" si="4"/>
        <v>12967.9</v>
      </c>
      <c r="J202" s="375">
        <f>J203</f>
        <v>12967.9</v>
      </c>
      <c r="K202" s="506"/>
      <c r="L202" s="452">
        <f t="shared" si="5"/>
        <v>12967.9</v>
      </c>
    </row>
    <row r="203" spans="1:12" ht="62.25" customHeight="1" x14ac:dyDescent="0.25">
      <c r="A203" s="100" t="s">
        <v>836</v>
      </c>
      <c r="B203" s="99" t="s">
        <v>22</v>
      </c>
      <c r="C203" s="67" t="s">
        <v>837</v>
      </c>
      <c r="D203" s="79" t="s">
        <v>137</v>
      </c>
      <c r="E203" s="79" t="s">
        <v>705</v>
      </c>
      <c r="F203" s="381"/>
      <c r="G203" s="513">
        <v>12967.9</v>
      </c>
      <c r="H203" s="513"/>
      <c r="I203" s="456">
        <f t="shared" ref="I203:I211" si="6">G203+H203</f>
        <v>12967.9</v>
      </c>
      <c r="J203" s="371">
        <v>12967.9</v>
      </c>
      <c r="K203" s="506"/>
      <c r="L203" s="451">
        <f t="shared" ref="L203:L211" si="7">J203+K203</f>
        <v>12967.9</v>
      </c>
    </row>
    <row r="204" spans="1:12" s="116" customFormat="1" ht="63" hidden="1" customHeight="1" x14ac:dyDescent="0.3">
      <c r="A204" s="202" t="s">
        <v>688</v>
      </c>
      <c r="B204" s="16" t="s">
        <v>9</v>
      </c>
      <c r="C204" s="10" t="s">
        <v>689</v>
      </c>
      <c r="D204" s="27" t="s">
        <v>137</v>
      </c>
      <c r="E204" s="27" t="s">
        <v>705</v>
      </c>
      <c r="F204" s="38"/>
      <c r="G204" s="518">
        <f>G205</f>
        <v>0</v>
      </c>
      <c r="H204" s="518"/>
      <c r="I204" s="455">
        <f t="shared" si="6"/>
        <v>0</v>
      </c>
      <c r="J204" s="373">
        <f>J205</f>
        <v>0</v>
      </c>
      <c r="K204" s="540"/>
      <c r="L204" s="451">
        <f t="shared" si="7"/>
        <v>0</v>
      </c>
    </row>
    <row r="205" spans="1:12" s="116" customFormat="1" ht="71.25" hidden="1" customHeight="1" x14ac:dyDescent="0.3">
      <c r="A205" s="203" t="s">
        <v>688</v>
      </c>
      <c r="B205" s="15" t="s">
        <v>76</v>
      </c>
      <c r="C205" s="17" t="s">
        <v>689</v>
      </c>
      <c r="D205" s="381" t="s">
        <v>137</v>
      </c>
      <c r="E205" s="381" t="s">
        <v>705</v>
      </c>
      <c r="F205" s="38"/>
      <c r="G205" s="515"/>
      <c r="H205" s="515"/>
      <c r="I205" s="455">
        <f t="shared" si="6"/>
        <v>0</v>
      </c>
      <c r="J205" s="165"/>
      <c r="K205" s="540"/>
      <c r="L205" s="451">
        <f t="shared" si="7"/>
        <v>0</v>
      </c>
    </row>
    <row r="206" spans="1:12" s="114" customFormat="1" ht="57" hidden="1" customHeight="1" x14ac:dyDescent="0.3">
      <c r="A206" s="14" t="s">
        <v>346</v>
      </c>
      <c r="B206" s="16" t="s">
        <v>9</v>
      </c>
      <c r="C206" s="10" t="s">
        <v>556</v>
      </c>
      <c r="D206" s="27" t="s">
        <v>137</v>
      </c>
      <c r="E206" s="27" t="s">
        <v>334</v>
      </c>
      <c r="F206" s="27"/>
      <c r="G206" s="518">
        <f>G207+G208</f>
        <v>0</v>
      </c>
      <c r="H206" s="518"/>
      <c r="I206" s="455">
        <f t="shared" si="6"/>
        <v>0</v>
      </c>
      <c r="J206" s="373">
        <f>J207+J208</f>
        <v>0</v>
      </c>
      <c r="K206" s="538"/>
      <c r="L206" s="451">
        <f t="shared" si="7"/>
        <v>0</v>
      </c>
    </row>
    <row r="207" spans="1:12" ht="52.5" hidden="1" customHeight="1" x14ac:dyDescent="0.3">
      <c r="A207" s="19" t="s">
        <v>489</v>
      </c>
      <c r="B207" s="15" t="s">
        <v>49</v>
      </c>
      <c r="C207" s="17" t="s">
        <v>557</v>
      </c>
      <c r="D207" s="381" t="s">
        <v>137</v>
      </c>
      <c r="E207" s="381" t="s">
        <v>334</v>
      </c>
      <c r="F207" s="27"/>
      <c r="G207" s="526"/>
      <c r="H207" s="526"/>
      <c r="I207" s="455">
        <f t="shared" si="6"/>
        <v>0</v>
      </c>
      <c r="J207" s="428"/>
      <c r="K207" s="506"/>
      <c r="L207" s="451">
        <f t="shared" si="7"/>
        <v>0</v>
      </c>
    </row>
    <row r="208" spans="1:12" ht="45" hidden="1" customHeight="1" x14ac:dyDescent="0.3">
      <c r="A208" s="19" t="s">
        <v>489</v>
      </c>
      <c r="B208" s="15" t="s">
        <v>76</v>
      </c>
      <c r="C208" s="17" t="s">
        <v>557</v>
      </c>
      <c r="D208" s="381" t="s">
        <v>137</v>
      </c>
      <c r="E208" s="381" t="s">
        <v>334</v>
      </c>
      <c r="F208" s="381"/>
      <c r="G208" s="511"/>
      <c r="H208" s="511"/>
      <c r="I208" s="455">
        <f t="shared" si="6"/>
        <v>0</v>
      </c>
      <c r="J208" s="155"/>
      <c r="K208" s="506"/>
      <c r="L208" s="451">
        <f t="shared" si="7"/>
        <v>0</v>
      </c>
    </row>
    <row r="209" spans="1:12" s="114" customFormat="1" ht="15.75" x14ac:dyDescent="0.25">
      <c r="A209" s="14" t="s">
        <v>347</v>
      </c>
      <c r="B209" s="16" t="s">
        <v>9</v>
      </c>
      <c r="C209" s="10" t="s">
        <v>348</v>
      </c>
      <c r="D209" s="27" t="s">
        <v>137</v>
      </c>
      <c r="E209" s="27" t="s">
        <v>9</v>
      </c>
      <c r="F209" s="381"/>
      <c r="G209" s="509">
        <f>G210</f>
        <v>400</v>
      </c>
      <c r="H209" s="509"/>
      <c r="I209" s="455">
        <f t="shared" si="6"/>
        <v>400</v>
      </c>
      <c r="J209" s="375">
        <f>J210</f>
        <v>400</v>
      </c>
      <c r="K209" s="538"/>
      <c r="L209" s="452">
        <f t="shared" si="7"/>
        <v>400</v>
      </c>
    </row>
    <row r="210" spans="1:12" s="114" customFormat="1" ht="31.5" x14ac:dyDescent="0.25">
      <c r="A210" s="14" t="s">
        <v>221</v>
      </c>
      <c r="B210" s="16" t="s">
        <v>9</v>
      </c>
      <c r="C210" s="10" t="s">
        <v>349</v>
      </c>
      <c r="D210" s="27" t="s">
        <v>137</v>
      </c>
      <c r="E210" s="27" t="s">
        <v>705</v>
      </c>
      <c r="F210" s="381"/>
      <c r="G210" s="509">
        <f>G211</f>
        <v>400</v>
      </c>
      <c r="H210" s="509"/>
      <c r="I210" s="455">
        <f t="shared" si="6"/>
        <v>400</v>
      </c>
      <c r="J210" s="375">
        <f>J211</f>
        <v>400</v>
      </c>
      <c r="K210" s="538"/>
      <c r="L210" s="452">
        <f t="shared" si="7"/>
        <v>400</v>
      </c>
    </row>
    <row r="211" spans="1:12" s="114" customFormat="1" ht="31.5" x14ac:dyDescent="0.25">
      <c r="A211" s="19" t="s">
        <v>221</v>
      </c>
      <c r="B211" s="15" t="s">
        <v>76</v>
      </c>
      <c r="C211" s="17" t="s">
        <v>349</v>
      </c>
      <c r="D211" s="381" t="s">
        <v>137</v>
      </c>
      <c r="E211" s="381" t="s">
        <v>705</v>
      </c>
      <c r="F211" s="381"/>
      <c r="G211" s="513">
        <v>400</v>
      </c>
      <c r="H211" s="513"/>
      <c r="I211" s="456">
        <f t="shared" si="6"/>
        <v>400</v>
      </c>
      <c r="J211" s="371">
        <v>400</v>
      </c>
      <c r="K211" s="538"/>
      <c r="L211" s="451">
        <f t="shared" si="7"/>
        <v>400</v>
      </c>
    </row>
    <row r="237" spans="1:6" x14ac:dyDescent="0.25">
      <c r="A237" s="120"/>
      <c r="B237" s="121"/>
      <c r="C237" s="121"/>
      <c r="D237" s="121"/>
      <c r="E237" s="121"/>
      <c r="F237" s="121"/>
    </row>
    <row r="238" spans="1:6" x14ac:dyDescent="0.25">
      <c r="A238" s="120"/>
      <c r="B238" s="121"/>
      <c r="C238" s="121"/>
      <c r="D238" s="121"/>
      <c r="E238" s="121"/>
      <c r="F238" s="121"/>
    </row>
    <row r="239" spans="1:6" x14ac:dyDescent="0.25">
      <c r="A239" s="120"/>
      <c r="B239" s="121"/>
      <c r="C239" s="121"/>
      <c r="D239" s="121"/>
      <c r="E239" s="121"/>
      <c r="F239" s="121"/>
    </row>
    <row r="240" spans="1:6" x14ac:dyDescent="0.25">
      <c r="A240" s="120"/>
      <c r="B240" s="121"/>
      <c r="C240" s="121"/>
      <c r="D240" s="121"/>
      <c r="E240" s="121"/>
      <c r="F240" s="121"/>
    </row>
    <row r="241" spans="1:6" x14ac:dyDescent="0.25">
      <c r="A241" s="123"/>
      <c r="B241" s="124"/>
      <c r="C241" s="124"/>
      <c r="D241" s="124"/>
      <c r="E241" s="124"/>
      <c r="F241" s="124"/>
    </row>
    <row r="242" spans="1:6" x14ac:dyDescent="0.25">
      <c r="A242" s="120"/>
      <c r="B242" s="121"/>
      <c r="C242" s="121"/>
      <c r="D242" s="121"/>
      <c r="E242" s="121"/>
      <c r="F242" s="121"/>
    </row>
    <row r="243" spans="1:6" x14ac:dyDescent="0.25">
      <c r="A243" s="123"/>
      <c r="B243" s="124"/>
      <c r="C243" s="124"/>
      <c r="D243" s="124"/>
      <c r="E243" s="124"/>
      <c r="F243" s="124"/>
    </row>
    <row r="244" spans="1:6" x14ac:dyDescent="0.25">
      <c r="A244" s="120"/>
      <c r="B244" s="121"/>
      <c r="C244" s="121"/>
      <c r="D244" s="121"/>
      <c r="E244" s="121"/>
      <c r="F244" s="121"/>
    </row>
    <row r="245" spans="1:6" x14ac:dyDescent="0.25">
      <c r="A245" s="123"/>
      <c r="B245" s="124"/>
      <c r="C245" s="124"/>
      <c r="D245" s="124"/>
      <c r="E245" s="124"/>
      <c r="F245" s="124"/>
    </row>
    <row r="246" spans="1:6" x14ac:dyDescent="0.25">
      <c r="A246" s="120"/>
      <c r="B246" s="121"/>
      <c r="C246" s="121"/>
      <c r="D246" s="121"/>
      <c r="E246" s="121"/>
      <c r="F246" s="121"/>
    </row>
    <row r="247" spans="1:6" x14ac:dyDescent="0.25">
      <c r="A247" s="120"/>
      <c r="B247" s="121"/>
      <c r="C247" s="121"/>
      <c r="D247" s="121"/>
      <c r="E247" s="121"/>
      <c r="F247" s="121"/>
    </row>
    <row r="248" spans="1:6" x14ac:dyDescent="0.25">
      <c r="A248" s="120"/>
      <c r="B248" s="121"/>
      <c r="C248" s="121"/>
      <c r="D248" s="121"/>
      <c r="E248" s="121"/>
      <c r="F248" s="121"/>
    </row>
    <row r="249" spans="1:6" x14ac:dyDescent="0.25">
      <c r="A249" s="123"/>
      <c r="B249" s="124"/>
      <c r="C249" s="124"/>
      <c r="D249" s="124"/>
      <c r="E249" s="124"/>
      <c r="F249" s="124"/>
    </row>
    <row r="250" spans="1:6" x14ac:dyDescent="0.25">
      <c r="A250" s="123"/>
      <c r="B250" s="124"/>
      <c r="C250" s="124"/>
      <c r="D250" s="124"/>
      <c r="E250" s="124"/>
      <c r="F250" s="124"/>
    </row>
    <row r="251" spans="1:6" x14ac:dyDescent="0.25">
      <c r="A251" s="120"/>
      <c r="B251" s="121"/>
      <c r="C251" s="121"/>
      <c r="D251" s="121"/>
      <c r="E251" s="121"/>
      <c r="F251" s="121"/>
    </row>
    <row r="252" spans="1:6" x14ac:dyDescent="0.25">
      <c r="A252" s="123"/>
      <c r="B252" s="124"/>
      <c r="C252" s="124"/>
      <c r="D252" s="124"/>
      <c r="E252" s="124"/>
      <c r="F252" s="124"/>
    </row>
    <row r="253" spans="1:6" x14ac:dyDescent="0.25">
      <c r="A253" s="123"/>
      <c r="B253" s="124"/>
      <c r="C253" s="124"/>
      <c r="D253" s="124"/>
      <c r="E253" s="124"/>
      <c r="F253" s="124"/>
    </row>
  </sheetData>
  <autoFilter ref="A9:J211">
    <filterColumn colId="1" showButton="0"/>
    <filterColumn colId="2" showButton="0"/>
    <filterColumn colId="3" showButton="0"/>
  </autoFilter>
  <mergeCells count="3">
    <mergeCell ref="A6:J6"/>
    <mergeCell ref="B8:E8"/>
    <mergeCell ref="B9:E9"/>
  </mergeCells>
  <pageMargins left="0.70866141732283472" right="0.39370078740157483" top="0.19685039370078741" bottom="0.19685039370078741" header="0.15748031496062992" footer="0.15748031496062992"/>
  <pageSetup paperSize="9" scale="3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/>
    <pageSetUpPr fitToPage="1"/>
  </sheetPr>
  <dimension ref="A1:IH760"/>
  <sheetViews>
    <sheetView view="pageBreakPreview" topLeftCell="J1" zoomScaleNormal="100" zoomScaleSheetLayoutView="100" workbookViewId="0">
      <selection activeCell="R14" sqref="R14"/>
    </sheetView>
  </sheetViews>
  <sheetFormatPr defaultColWidth="9.140625" defaultRowHeight="15.75" outlineLevelRow="1" x14ac:dyDescent="0.25"/>
  <cols>
    <col min="1" max="1" width="73.140625" style="58" customWidth="1"/>
    <col min="2" max="2" width="10.7109375" style="58" bestFit="1" customWidth="1"/>
    <col min="3" max="3" width="11.42578125" style="58" customWidth="1"/>
    <col min="4" max="4" width="12.42578125" style="58" customWidth="1"/>
    <col min="5" max="5" width="17.7109375" style="69" customWidth="1"/>
    <col min="6" max="6" width="11.7109375" style="58" customWidth="1"/>
    <col min="7" max="7" width="22.140625" style="333" customWidth="1"/>
    <col min="8" max="8" width="18.28515625" style="333" customWidth="1"/>
    <col min="9" max="9" width="23" style="334" customWidth="1"/>
    <col min="10" max="10" width="17" style="334" customWidth="1"/>
    <col min="11" max="11" width="15.85546875" style="401" customWidth="1"/>
    <col min="12" max="12" width="15.5703125" style="402" customWidth="1"/>
    <col min="13" max="14" width="15.42578125" style="326" customWidth="1"/>
    <col min="15" max="15" width="15.7109375" style="306" customWidth="1"/>
    <col min="16" max="16" width="12.7109375" style="306" customWidth="1"/>
    <col min="17" max="18" width="12.7109375" style="326" customWidth="1"/>
    <col min="19" max="19" width="12.7109375" style="306" customWidth="1"/>
    <col min="20" max="20" width="14.28515625" style="306" customWidth="1"/>
    <col min="21" max="22" width="20.7109375" style="198" customWidth="1"/>
    <col min="23" max="23" width="23.7109375" style="71" hidden="1" customWidth="1"/>
    <col min="24" max="24" width="14.28515625" style="8" hidden="1" customWidth="1"/>
    <col min="25" max="25" width="1.7109375" style="8" hidden="1" customWidth="1"/>
    <col min="26" max="26" width="20.5703125" style="8" hidden="1" customWidth="1"/>
    <col min="27" max="27" width="15" style="8" hidden="1" customWidth="1"/>
    <col min="28" max="28" width="17.28515625" style="8" hidden="1" customWidth="1"/>
    <col min="29" max="30" width="17.28515625" style="8" customWidth="1"/>
    <col min="31" max="38" width="17.85546875" style="8" customWidth="1"/>
    <col min="39" max="39" width="17.140625" style="8" customWidth="1"/>
    <col min="40" max="40" width="40" style="58" customWidth="1"/>
    <col min="41" max="44" width="9.140625" style="8" customWidth="1"/>
    <col min="45" max="16384" width="9.140625" style="8"/>
  </cols>
  <sheetData>
    <row r="1" spans="1:40" x14ac:dyDescent="0.25">
      <c r="U1" s="378"/>
      <c r="V1" s="378" t="s">
        <v>789</v>
      </c>
      <c r="W1" s="219">
        <v>2023</v>
      </c>
      <c r="Z1" s="8">
        <v>2024</v>
      </c>
      <c r="AN1" s="8"/>
    </row>
    <row r="2" spans="1:40" x14ac:dyDescent="0.25">
      <c r="U2" s="378"/>
      <c r="V2" s="378" t="s">
        <v>587</v>
      </c>
      <c r="W2" s="227" t="s">
        <v>841</v>
      </c>
      <c r="X2" s="198">
        <f>G42+G43+G44+G158+G61+G62+G63+G156+G84+G143+G144+G137+G153+G186+G384+G233+G330+G331+G340+G341+G343+G344+G360+G382+G440+G444+G448+G650+G651+G659+G660+G677+G679</f>
        <v>221891.19999999998</v>
      </c>
      <c r="Y2" s="198"/>
      <c r="Z2" s="227" t="s">
        <v>841</v>
      </c>
      <c r="AA2" s="198">
        <f>I42+I43+I44+I158+I61+I62+I63+I156+I84+I143+I144+I137+I153+I186+I384+I233+I330+I331+I340+I341+I343+I344+I360+I382+I440+I444+I448+I650+I651+I659+I660+I677+I679</f>
        <v>219890.3</v>
      </c>
      <c r="AN2" s="8"/>
    </row>
    <row r="3" spans="1:40" x14ac:dyDescent="0.25">
      <c r="U3" s="378"/>
      <c r="V3" s="378" t="s">
        <v>2</v>
      </c>
      <c r="W3" s="227" t="s">
        <v>842</v>
      </c>
      <c r="X3" s="198">
        <f>G636-1.65+G86-100+G258+G260+G484+G486+G117+G685-284.7</f>
        <v>244745.12</v>
      </c>
      <c r="Y3" s="198"/>
      <c r="Z3" s="227" t="s">
        <v>842</v>
      </c>
      <c r="AA3" s="198">
        <f>I636-1.65+I86-103+I484+I488+I486+I117+I685-283.3</f>
        <v>31698.65</v>
      </c>
      <c r="AN3" s="8"/>
    </row>
    <row r="4" spans="1:40" x14ac:dyDescent="0.25">
      <c r="U4" s="196"/>
      <c r="V4" s="196" t="s">
        <v>1020</v>
      </c>
      <c r="W4" s="227" t="s">
        <v>856</v>
      </c>
      <c r="X4" s="198">
        <f>G88</f>
        <v>12967.9</v>
      </c>
      <c r="Y4" s="198"/>
      <c r="Z4" s="227" t="s">
        <v>856</v>
      </c>
      <c r="AA4" s="198">
        <f>I88</f>
        <v>12967.9</v>
      </c>
      <c r="AN4" s="8"/>
    </row>
    <row r="5" spans="1:40" ht="15.6" x14ac:dyDescent="0.3">
      <c r="C5" s="68"/>
      <c r="D5" s="68"/>
      <c r="F5" s="68"/>
      <c r="G5" s="335"/>
      <c r="H5" s="335"/>
      <c r="K5" s="403"/>
      <c r="M5" s="327"/>
      <c r="N5" s="327"/>
      <c r="O5" s="307"/>
      <c r="P5" s="307"/>
      <c r="Q5" s="327"/>
      <c r="R5" s="327"/>
      <c r="S5" s="307"/>
      <c r="T5" s="307"/>
      <c r="W5" s="8"/>
      <c r="AN5" s="8"/>
    </row>
    <row r="6" spans="1:40" x14ac:dyDescent="0.25">
      <c r="C6" s="68"/>
      <c r="D6" s="68"/>
      <c r="F6" s="68"/>
      <c r="G6" s="335"/>
      <c r="H6" s="335"/>
      <c r="K6" s="403"/>
      <c r="M6" s="327"/>
      <c r="N6" s="327"/>
      <c r="O6" s="307"/>
      <c r="P6" s="307"/>
      <c r="Q6" s="327"/>
      <c r="R6" s="327"/>
      <c r="S6" s="307"/>
      <c r="T6" s="307"/>
      <c r="W6" s="8" t="s">
        <v>940</v>
      </c>
      <c r="Z6" s="8" t="s">
        <v>940</v>
      </c>
      <c r="AN6" s="8"/>
    </row>
    <row r="7" spans="1:40" x14ac:dyDescent="0.25">
      <c r="A7" s="763" t="s">
        <v>492</v>
      </c>
      <c r="B7" s="763"/>
      <c r="C7" s="763"/>
      <c r="D7" s="763"/>
      <c r="E7" s="763"/>
      <c r="F7" s="763"/>
      <c r="G7" s="764"/>
      <c r="H7" s="682"/>
      <c r="I7" s="764"/>
      <c r="J7" s="682"/>
      <c r="K7" s="682"/>
      <c r="L7" s="763"/>
      <c r="M7" s="763"/>
      <c r="N7" s="763"/>
      <c r="O7" s="763"/>
      <c r="P7" s="763"/>
      <c r="Q7" s="763"/>
      <c r="R7" s="763"/>
      <c r="S7" s="763"/>
      <c r="T7" s="763"/>
      <c r="U7" s="765"/>
      <c r="V7" s="765"/>
      <c r="W7" s="260">
        <v>903</v>
      </c>
      <c r="X7" s="271">
        <f>G19+G31+G35+G39+G32+G36+G33+G37+G53+G54+G50+G51+G55+G97+G102+100+G98+G108+G99+G103+G118+G124+G125+G128+G129</f>
        <v>100</v>
      </c>
      <c r="Z7" s="260">
        <v>903</v>
      </c>
      <c r="AA7" s="70">
        <f>I19+I31+I35+I39+I32+I36+I33+I37+I50+I53+I54+I51+I55+I97+I102+103+I98+I108+I99+I103+I118+I124+I125+I128+I129</f>
        <v>103</v>
      </c>
      <c r="AN7" s="8"/>
    </row>
    <row r="8" spans="1:40" ht="15.75" customHeight="1" x14ac:dyDescent="0.25">
      <c r="A8" s="766" t="s">
        <v>1119</v>
      </c>
      <c r="B8" s="766"/>
      <c r="C8" s="766"/>
      <c r="D8" s="766"/>
      <c r="E8" s="766"/>
      <c r="F8" s="766"/>
      <c r="G8" s="767"/>
      <c r="H8" s="688"/>
      <c r="I8" s="767"/>
      <c r="J8" s="688"/>
      <c r="K8" s="688"/>
      <c r="L8" s="766"/>
      <c r="M8" s="766"/>
      <c r="N8" s="766"/>
      <c r="O8" s="766"/>
      <c r="P8" s="766"/>
      <c r="Q8" s="766"/>
      <c r="R8" s="766"/>
      <c r="S8" s="766"/>
      <c r="T8" s="766"/>
      <c r="U8" s="768"/>
      <c r="V8" s="768"/>
      <c r="W8" s="260">
        <v>912</v>
      </c>
      <c r="X8" s="198">
        <f>G169+G165+G174+G180+G227+G236+G252+G254</f>
        <v>241</v>
      </c>
      <c r="Y8" s="198"/>
      <c r="Z8" s="260">
        <v>912</v>
      </c>
      <c r="AA8" s="198">
        <f>I169+I165+I174+I180+I227+I236+I252+I254</f>
        <v>252</v>
      </c>
      <c r="AN8" s="8"/>
    </row>
    <row r="9" spans="1:40" x14ac:dyDescent="0.25">
      <c r="A9" s="97" t="s">
        <v>1005</v>
      </c>
      <c r="B9" s="97"/>
      <c r="C9" s="97"/>
      <c r="D9" s="97"/>
      <c r="E9" s="98"/>
      <c r="F9" s="97"/>
      <c r="G9" s="336"/>
      <c r="H9" s="336"/>
      <c r="I9" s="337"/>
      <c r="J9" s="337"/>
      <c r="K9" s="404"/>
      <c r="L9" s="405"/>
      <c r="M9" s="328"/>
      <c r="N9" s="328"/>
      <c r="O9" s="308"/>
      <c r="P9" s="308"/>
      <c r="Q9" s="328"/>
      <c r="R9" s="328"/>
      <c r="S9" s="308"/>
      <c r="T9" s="308"/>
      <c r="U9" s="261"/>
      <c r="V9" s="272" t="s">
        <v>1006</v>
      </c>
      <c r="W9" s="260">
        <v>919</v>
      </c>
      <c r="X9" s="198">
        <f>G270+G273+G282+G283+G285+G290+G297</f>
        <v>0</v>
      </c>
      <c r="Z9" s="260">
        <v>919</v>
      </c>
      <c r="AA9" s="198">
        <f>I270+I273+I282+I283+I285+I290+I297</f>
        <v>0</v>
      </c>
      <c r="AN9" s="8"/>
    </row>
    <row r="10" spans="1:40" s="73" customFormat="1" ht="15.75" customHeight="1" x14ac:dyDescent="0.25">
      <c r="A10" s="699" t="s">
        <v>3</v>
      </c>
      <c r="B10" s="699" t="s">
        <v>4</v>
      </c>
      <c r="C10" s="699"/>
      <c r="D10" s="699"/>
      <c r="E10" s="699"/>
      <c r="F10" s="699"/>
      <c r="G10" s="776" t="s">
        <v>1007</v>
      </c>
      <c r="H10" s="776"/>
      <c r="I10" s="773" t="s">
        <v>1121</v>
      </c>
      <c r="J10" s="773"/>
      <c r="K10" s="769" t="s">
        <v>1036</v>
      </c>
      <c r="L10" s="770"/>
      <c r="M10" s="771" t="s">
        <v>1073</v>
      </c>
      <c r="N10" s="772"/>
      <c r="O10" s="774" t="s">
        <v>1264</v>
      </c>
      <c r="P10" s="775"/>
      <c r="Q10" s="771" t="s">
        <v>1074</v>
      </c>
      <c r="R10" s="772"/>
      <c r="S10" s="774"/>
      <c r="T10" s="775"/>
      <c r="U10" s="724" t="s">
        <v>363</v>
      </c>
      <c r="V10" s="724"/>
      <c r="W10" s="260">
        <v>936</v>
      </c>
      <c r="X10" s="273">
        <f>1.65+284.7+G325+G347+G350+G387+G390+G391+G393+G394+G395+G399+G404+G403+G407+G415+G417+G423+G426+G432+G456+G492+G493+G543+G604+G606+G616+G618+G621+G623+G625+G626+G629+G641+G642+G703+G712+G714</f>
        <v>286.34999999999997</v>
      </c>
      <c r="Z10" s="260">
        <v>936</v>
      </c>
      <c r="AA10" s="273">
        <f>1.65+283.3+I325+I347+I350+I387+I390+I391+I393+I394+I395+I399+I403+I404+I407+I415+I417+I423+I426+I432+I456+I492+I493+I543+I604+I606+I616+I618+I621+I623+I625+I626+I629+I641+I642+I703+I712+I714</f>
        <v>284.95</v>
      </c>
    </row>
    <row r="11" spans="1:40" s="73" customFormat="1" ht="31.5" x14ac:dyDescent="0.25">
      <c r="A11" s="695"/>
      <c r="B11" s="228" t="s">
        <v>6</v>
      </c>
      <c r="C11" s="228" t="s">
        <v>203</v>
      </c>
      <c r="D11" s="228" t="s">
        <v>204</v>
      </c>
      <c r="E11" s="228" t="s">
        <v>7</v>
      </c>
      <c r="F11" s="228" t="s">
        <v>942</v>
      </c>
      <c r="G11" s="416" t="s">
        <v>1118</v>
      </c>
      <c r="H11" s="416" t="s">
        <v>1069</v>
      </c>
      <c r="I11" s="414" t="s">
        <v>1118</v>
      </c>
      <c r="J11" s="414" t="s">
        <v>1069</v>
      </c>
      <c r="K11" s="406" t="s">
        <v>933</v>
      </c>
      <c r="L11" s="406" t="s">
        <v>1120</v>
      </c>
      <c r="M11" s="329" t="s">
        <v>1075</v>
      </c>
      <c r="N11" s="329" t="s">
        <v>1076</v>
      </c>
      <c r="O11" s="309" t="s">
        <v>1076</v>
      </c>
      <c r="P11" s="309" t="s">
        <v>1247</v>
      </c>
      <c r="Q11" s="329"/>
      <c r="R11" s="329"/>
      <c r="S11" s="309"/>
      <c r="T11" s="309"/>
      <c r="U11" s="415" t="s">
        <v>933</v>
      </c>
      <c r="V11" s="415" t="s">
        <v>1120</v>
      </c>
      <c r="W11" s="262">
        <v>943</v>
      </c>
      <c r="X11" s="273">
        <f>G726</f>
        <v>0</v>
      </c>
      <c r="Z11" s="262">
        <v>943</v>
      </c>
      <c r="AA11" s="273">
        <f>I726</f>
        <v>0</v>
      </c>
    </row>
    <row r="12" spans="1:40" s="77" customFormat="1" x14ac:dyDescent="0.25">
      <c r="A12" s="74" t="s">
        <v>8</v>
      </c>
      <c r="B12" s="75" t="s">
        <v>9</v>
      </c>
      <c r="C12" s="75" t="s">
        <v>10</v>
      </c>
      <c r="D12" s="75" t="s">
        <v>10</v>
      </c>
      <c r="E12" s="75" t="s">
        <v>365</v>
      </c>
      <c r="F12" s="75" t="s">
        <v>9</v>
      </c>
      <c r="G12" s="311">
        <f t="shared" ref="G12:T12" si="0">G13+G159+G264+G319+G731+G720</f>
        <v>487351.80699999997</v>
      </c>
      <c r="H12" s="311">
        <f t="shared" si="0"/>
        <v>359042.63299999997</v>
      </c>
      <c r="I12" s="320">
        <f t="shared" si="0"/>
        <v>269806.53700000001</v>
      </c>
      <c r="J12" s="320">
        <f t="shared" si="0"/>
        <v>367279.29299999995</v>
      </c>
      <c r="K12" s="407">
        <f t="shared" si="0"/>
        <v>0</v>
      </c>
      <c r="L12" s="407">
        <f t="shared" si="0"/>
        <v>0</v>
      </c>
      <c r="M12" s="321">
        <f t="shared" si="0"/>
        <v>0</v>
      </c>
      <c r="N12" s="321">
        <f t="shared" si="0"/>
        <v>0</v>
      </c>
      <c r="O12" s="310">
        <f t="shared" si="0"/>
        <v>0</v>
      </c>
      <c r="P12" s="310">
        <f t="shared" si="0"/>
        <v>0</v>
      </c>
      <c r="Q12" s="321">
        <f t="shared" si="0"/>
        <v>0</v>
      </c>
      <c r="R12" s="321">
        <f t="shared" si="0"/>
        <v>0</v>
      </c>
      <c r="S12" s="310">
        <f t="shared" si="0"/>
        <v>0</v>
      </c>
      <c r="T12" s="310">
        <f t="shared" si="0"/>
        <v>0</v>
      </c>
      <c r="U12" s="131">
        <f>G12+K12+M12+O12+Q12+S12+H12</f>
        <v>846394.44</v>
      </c>
      <c r="V12" s="131">
        <f>I12+L12+N12+P12+R12+T12+J12</f>
        <v>637085.82999999996</v>
      </c>
      <c r="W12" s="262">
        <v>947</v>
      </c>
      <c r="X12" s="274">
        <f>G737+G739+G745</f>
        <v>0</v>
      </c>
      <c r="Y12" s="274"/>
      <c r="Z12" s="262">
        <v>947</v>
      </c>
      <c r="AA12" s="274">
        <f>I737+I739+I745</f>
        <v>0</v>
      </c>
    </row>
    <row r="13" spans="1:40" s="77" customFormat="1" ht="31.5" x14ac:dyDescent="0.25">
      <c r="A13" s="74" t="s">
        <v>701</v>
      </c>
      <c r="B13" s="75" t="s">
        <v>22</v>
      </c>
      <c r="C13" s="75" t="s">
        <v>10</v>
      </c>
      <c r="D13" s="75" t="s">
        <v>10</v>
      </c>
      <c r="E13" s="75" t="s">
        <v>365</v>
      </c>
      <c r="F13" s="75" t="s">
        <v>9</v>
      </c>
      <c r="G13" s="311">
        <f>G14+G26+G138+G21</f>
        <v>222892.12700000001</v>
      </c>
      <c r="H13" s="311">
        <f t="shared" ref="H13:T13" si="1">H14+H26+H138+H21</f>
        <v>157016.573</v>
      </c>
      <c r="I13" s="320">
        <f t="shared" si="1"/>
        <v>223240.927</v>
      </c>
      <c r="J13" s="320">
        <f t="shared" si="1"/>
        <v>158240.77300000002</v>
      </c>
      <c r="K13" s="407">
        <f t="shared" si="1"/>
        <v>0</v>
      </c>
      <c r="L13" s="407">
        <f t="shared" si="1"/>
        <v>0</v>
      </c>
      <c r="M13" s="321">
        <f t="shared" si="1"/>
        <v>0</v>
      </c>
      <c r="N13" s="321">
        <f t="shared" si="1"/>
        <v>0</v>
      </c>
      <c r="O13" s="310">
        <f t="shared" si="1"/>
        <v>0</v>
      </c>
      <c r="P13" s="310">
        <f t="shared" si="1"/>
        <v>0</v>
      </c>
      <c r="Q13" s="321">
        <f t="shared" si="1"/>
        <v>0</v>
      </c>
      <c r="R13" s="321">
        <f t="shared" si="1"/>
        <v>0</v>
      </c>
      <c r="S13" s="310">
        <f t="shared" si="1"/>
        <v>0</v>
      </c>
      <c r="T13" s="310">
        <f t="shared" si="1"/>
        <v>0</v>
      </c>
      <c r="U13" s="131">
        <f t="shared" ref="U13:U84" si="2">G13+K13+M13+O13+Q13+S13+H13</f>
        <v>379908.7</v>
      </c>
      <c r="V13" s="131">
        <f t="shared" ref="V13:V84" si="3">I13+L13+N13+P13+R13+T13+J13</f>
        <v>381481.7</v>
      </c>
    </row>
    <row r="14" spans="1:40" s="77" customFormat="1" x14ac:dyDescent="0.25">
      <c r="A14" s="74" t="s">
        <v>23</v>
      </c>
      <c r="B14" s="75" t="s">
        <v>22</v>
      </c>
      <c r="C14" s="75" t="s">
        <v>14</v>
      </c>
      <c r="D14" s="75" t="s">
        <v>10</v>
      </c>
      <c r="E14" s="75" t="s">
        <v>365</v>
      </c>
      <c r="F14" s="75" t="s">
        <v>9</v>
      </c>
      <c r="G14" s="311">
        <f t="shared" ref="G14:T17" si="4">G15</f>
        <v>0</v>
      </c>
      <c r="H14" s="311">
        <f t="shared" si="4"/>
        <v>1682.6999999999998</v>
      </c>
      <c r="I14" s="320">
        <f t="shared" si="4"/>
        <v>0</v>
      </c>
      <c r="J14" s="320">
        <f t="shared" si="4"/>
        <v>1682.6999999999998</v>
      </c>
      <c r="K14" s="407">
        <f t="shared" si="4"/>
        <v>0</v>
      </c>
      <c r="L14" s="407">
        <f t="shared" si="4"/>
        <v>0</v>
      </c>
      <c r="M14" s="321">
        <f t="shared" si="4"/>
        <v>0</v>
      </c>
      <c r="N14" s="321">
        <f t="shared" si="4"/>
        <v>0</v>
      </c>
      <c r="O14" s="310">
        <f t="shared" si="4"/>
        <v>0</v>
      </c>
      <c r="P14" s="310">
        <f t="shared" si="4"/>
        <v>0</v>
      </c>
      <c r="Q14" s="321">
        <f t="shared" si="4"/>
        <v>0</v>
      </c>
      <c r="R14" s="321">
        <f t="shared" si="4"/>
        <v>0</v>
      </c>
      <c r="S14" s="310">
        <f t="shared" si="4"/>
        <v>0</v>
      </c>
      <c r="T14" s="310">
        <f t="shared" si="4"/>
        <v>0</v>
      </c>
      <c r="U14" s="131">
        <f t="shared" si="2"/>
        <v>1682.6999999999998</v>
      </c>
      <c r="V14" s="131">
        <f t="shared" si="3"/>
        <v>1682.6999999999998</v>
      </c>
    </row>
    <row r="15" spans="1:40" s="80" customFormat="1" ht="47.25" x14ac:dyDescent="0.25">
      <c r="A15" s="78" t="s">
        <v>24</v>
      </c>
      <c r="B15" s="79" t="s">
        <v>22</v>
      </c>
      <c r="C15" s="79" t="s">
        <v>14</v>
      </c>
      <c r="D15" s="79" t="s">
        <v>25</v>
      </c>
      <c r="E15" s="79" t="s">
        <v>365</v>
      </c>
      <c r="F15" s="79" t="s">
        <v>9</v>
      </c>
      <c r="G15" s="316">
        <f t="shared" si="4"/>
        <v>0</v>
      </c>
      <c r="H15" s="316">
        <f t="shared" si="4"/>
        <v>1682.6999999999998</v>
      </c>
      <c r="I15" s="338">
        <f t="shared" si="4"/>
        <v>0</v>
      </c>
      <c r="J15" s="338">
        <f t="shared" si="4"/>
        <v>1682.6999999999998</v>
      </c>
      <c r="K15" s="408">
        <f t="shared" si="4"/>
        <v>0</v>
      </c>
      <c r="L15" s="408">
        <f t="shared" si="4"/>
        <v>0</v>
      </c>
      <c r="M15" s="322">
        <f t="shared" si="4"/>
        <v>0</v>
      </c>
      <c r="N15" s="322">
        <f t="shared" si="4"/>
        <v>0</v>
      </c>
      <c r="O15" s="312">
        <f t="shared" si="4"/>
        <v>0</v>
      </c>
      <c r="P15" s="312">
        <f t="shared" si="4"/>
        <v>0</v>
      </c>
      <c r="Q15" s="322">
        <f t="shared" si="4"/>
        <v>0</v>
      </c>
      <c r="R15" s="322">
        <f t="shared" si="4"/>
        <v>0</v>
      </c>
      <c r="S15" s="312">
        <f t="shared" si="4"/>
        <v>0</v>
      </c>
      <c r="T15" s="312">
        <f t="shared" si="4"/>
        <v>0</v>
      </c>
      <c r="U15" s="132">
        <f t="shared" si="2"/>
        <v>1682.6999999999998</v>
      </c>
      <c r="V15" s="132">
        <f t="shared" si="3"/>
        <v>1682.6999999999998</v>
      </c>
    </row>
    <row r="16" spans="1:40" s="80" customFormat="1" ht="31.5" x14ac:dyDescent="0.25">
      <c r="A16" s="78" t="s">
        <v>783</v>
      </c>
      <c r="B16" s="79" t="s">
        <v>22</v>
      </c>
      <c r="C16" s="79" t="s">
        <v>14</v>
      </c>
      <c r="D16" s="79" t="s">
        <v>25</v>
      </c>
      <c r="E16" s="79" t="s">
        <v>366</v>
      </c>
      <c r="F16" s="79" t="s">
        <v>9</v>
      </c>
      <c r="G16" s="316">
        <f t="shared" si="4"/>
        <v>0</v>
      </c>
      <c r="H16" s="316">
        <f t="shared" si="4"/>
        <v>1682.6999999999998</v>
      </c>
      <c r="I16" s="338">
        <f t="shared" si="4"/>
        <v>0</v>
      </c>
      <c r="J16" s="338">
        <f t="shared" si="4"/>
        <v>1682.6999999999998</v>
      </c>
      <c r="K16" s="408">
        <f t="shared" si="4"/>
        <v>0</v>
      </c>
      <c r="L16" s="408">
        <f t="shared" si="4"/>
        <v>0</v>
      </c>
      <c r="M16" s="322">
        <f t="shared" si="4"/>
        <v>0</v>
      </c>
      <c r="N16" s="322">
        <f t="shared" si="4"/>
        <v>0</v>
      </c>
      <c r="O16" s="312">
        <f t="shared" si="4"/>
        <v>0</v>
      </c>
      <c r="P16" s="312">
        <f t="shared" si="4"/>
        <v>0</v>
      </c>
      <c r="Q16" s="322">
        <f t="shared" si="4"/>
        <v>0</v>
      </c>
      <c r="R16" s="322">
        <f t="shared" si="4"/>
        <v>0</v>
      </c>
      <c r="S16" s="312">
        <f t="shared" si="4"/>
        <v>0</v>
      </c>
      <c r="T16" s="312">
        <f t="shared" si="4"/>
        <v>0</v>
      </c>
      <c r="U16" s="132">
        <f t="shared" si="2"/>
        <v>1682.6999999999998</v>
      </c>
      <c r="V16" s="132">
        <f t="shared" si="3"/>
        <v>1682.6999999999998</v>
      </c>
    </row>
    <row r="17" spans="1:232" s="80" customFormat="1" ht="31.5" x14ac:dyDescent="0.25">
      <c r="A17" s="78" t="s">
        <v>564</v>
      </c>
      <c r="B17" s="79" t="s">
        <v>22</v>
      </c>
      <c r="C17" s="79" t="s">
        <v>14</v>
      </c>
      <c r="D17" s="79" t="s">
        <v>25</v>
      </c>
      <c r="E17" s="79" t="s">
        <v>367</v>
      </c>
      <c r="F17" s="79" t="s">
        <v>9</v>
      </c>
      <c r="G17" s="316">
        <f t="shared" si="4"/>
        <v>0</v>
      </c>
      <c r="H17" s="316">
        <f t="shared" si="4"/>
        <v>1682.6999999999998</v>
      </c>
      <c r="I17" s="338">
        <f t="shared" si="4"/>
        <v>0</v>
      </c>
      <c r="J17" s="338">
        <f t="shared" si="4"/>
        <v>1682.6999999999998</v>
      </c>
      <c r="K17" s="408">
        <f t="shared" si="4"/>
        <v>0</v>
      </c>
      <c r="L17" s="408">
        <f t="shared" si="4"/>
        <v>0</v>
      </c>
      <c r="M17" s="322">
        <f t="shared" si="4"/>
        <v>0</v>
      </c>
      <c r="N17" s="322">
        <f t="shared" si="4"/>
        <v>0</v>
      </c>
      <c r="O17" s="312">
        <f t="shared" si="4"/>
        <v>0</v>
      </c>
      <c r="P17" s="312">
        <f t="shared" si="4"/>
        <v>0</v>
      </c>
      <c r="Q17" s="322">
        <f t="shared" si="4"/>
        <v>0</v>
      </c>
      <c r="R17" s="322">
        <f t="shared" si="4"/>
        <v>0</v>
      </c>
      <c r="S17" s="312">
        <f t="shared" si="4"/>
        <v>0</v>
      </c>
      <c r="T17" s="312">
        <f t="shared" si="4"/>
        <v>0</v>
      </c>
      <c r="U17" s="132">
        <f t="shared" si="2"/>
        <v>1682.6999999999998</v>
      </c>
      <c r="V17" s="132">
        <f t="shared" si="3"/>
        <v>1682.6999999999998</v>
      </c>
    </row>
    <row r="18" spans="1:232" s="80" customFormat="1" x14ac:dyDescent="0.25">
      <c r="A18" s="78" t="s">
        <v>26</v>
      </c>
      <c r="B18" s="79" t="s">
        <v>22</v>
      </c>
      <c r="C18" s="79" t="s">
        <v>14</v>
      </c>
      <c r="D18" s="79" t="s">
        <v>25</v>
      </c>
      <c r="E18" s="79" t="s">
        <v>368</v>
      </c>
      <c r="F18" s="79" t="s">
        <v>9</v>
      </c>
      <c r="G18" s="316">
        <f t="shared" ref="G18:O18" si="5">G19+G20</f>
        <v>0</v>
      </c>
      <c r="H18" s="316">
        <f>H19+H20</f>
        <v>1682.6999999999998</v>
      </c>
      <c r="I18" s="338">
        <f t="shared" si="5"/>
        <v>0</v>
      </c>
      <c r="J18" s="338">
        <f>J19+J20</f>
        <v>1682.6999999999998</v>
      </c>
      <c r="K18" s="408">
        <f t="shared" si="5"/>
        <v>0</v>
      </c>
      <c r="L18" s="408">
        <f t="shared" si="5"/>
        <v>0</v>
      </c>
      <c r="M18" s="322">
        <f t="shared" si="5"/>
        <v>0</v>
      </c>
      <c r="N18" s="322">
        <f t="shared" si="5"/>
        <v>0</v>
      </c>
      <c r="O18" s="312">
        <f t="shared" si="5"/>
        <v>0</v>
      </c>
      <c r="P18" s="312">
        <f>P19+P20</f>
        <v>0</v>
      </c>
      <c r="Q18" s="322">
        <f>Q19+Q20</f>
        <v>0</v>
      </c>
      <c r="R18" s="322">
        <f>R19+R20</f>
        <v>0</v>
      </c>
      <c r="S18" s="312">
        <f>S19+S20</f>
        <v>0</v>
      </c>
      <c r="T18" s="312">
        <f>T19+T20</f>
        <v>0</v>
      </c>
      <c r="U18" s="132">
        <f t="shared" si="2"/>
        <v>1682.6999999999998</v>
      </c>
      <c r="V18" s="132">
        <f t="shared" si="3"/>
        <v>1682.6999999999998</v>
      </c>
    </row>
    <row r="19" spans="1:232" s="77" customFormat="1" ht="63" x14ac:dyDescent="0.25">
      <c r="A19" s="74" t="s">
        <v>115</v>
      </c>
      <c r="B19" s="75" t="s">
        <v>22</v>
      </c>
      <c r="C19" s="75" t="s">
        <v>14</v>
      </c>
      <c r="D19" s="75" t="s">
        <v>25</v>
      </c>
      <c r="E19" s="75" t="s">
        <v>368</v>
      </c>
      <c r="F19" s="75" t="s">
        <v>113</v>
      </c>
      <c r="G19" s="311"/>
      <c r="H19" s="311">
        <v>1677.6</v>
      </c>
      <c r="I19" s="320"/>
      <c r="J19" s="320">
        <v>1677.6</v>
      </c>
      <c r="K19" s="409"/>
      <c r="L19" s="409"/>
      <c r="M19" s="323"/>
      <c r="N19" s="323"/>
      <c r="O19" s="313"/>
      <c r="P19" s="313"/>
      <c r="Q19" s="323"/>
      <c r="R19" s="323"/>
      <c r="S19" s="313"/>
      <c r="T19" s="313"/>
      <c r="U19" s="131">
        <f t="shared" si="2"/>
        <v>1677.6</v>
      </c>
      <c r="V19" s="131">
        <f t="shared" si="3"/>
        <v>1677.6</v>
      </c>
    </row>
    <row r="20" spans="1:232" s="77" customFormat="1" ht="31.5" customHeight="1" outlineLevel="1" x14ac:dyDescent="0.25">
      <c r="A20" s="74" t="s">
        <v>124</v>
      </c>
      <c r="B20" s="75" t="s">
        <v>22</v>
      </c>
      <c r="C20" s="75" t="s">
        <v>14</v>
      </c>
      <c r="D20" s="75" t="s">
        <v>25</v>
      </c>
      <c r="E20" s="75" t="s">
        <v>368</v>
      </c>
      <c r="F20" s="75" t="s">
        <v>117</v>
      </c>
      <c r="G20" s="311"/>
      <c r="H20" s="311">
        <v>5.0999999999999996</v>
      </c>
      <c r="I20" s="320"/>
      <c r="J20" s="320">
        <v>5.0999999999999996</v>
      </c>
      <c r="K20" s="409"/>
      <c r="L20" s="409"/>
      <c r="M20" s="323"/>
      <c r="N20" s="323"/>
      <c r="O20" s="313"/>
      <c r="P20" s="313"/>
      <c r="Q20" s="323"/>
      <c r="R20" s="323"/>
      <c r="S20" s="313"/>
      <c r="T20" s="313"/>
      <c r="U20" s="131">
        <f t="shared" si="2"/>
        <v>5.0999999999999996</v>
      </c>
      <c r="V20" s="131">
        <f t="shared" si="3"/>
        <v>5.0999999999999996</v>
      </c>
    </row>
    <row r="21" spans="1:232" s="77" customFormat="1" ht="31.5" customHeight="1" outlineLevel="1" x14ac:dyDescent="0.25">
      <c r="A21" s="74" t="s">
        <v>72</v>
      </c>
      <c r="B21" s="75" t="s">
        <v>22</v>
      </c>
      <c r="C21" s="75" t="s">
        <v>25</v>
      </c>
      <c r="D21" s="75" t="s">
        <v>10</v>
      </c>
      <c r="E21" s="75" t="s">
        <v>365</v>
      </c>
      <c r="F21" s="75" t="s">
        <v>9</v>
      </c>
      <c r="G21" s="311">
        <f>G22</f>
        <v>0</v>
      </c>
      <c r="H21" s="311">
        <f>H22</f>
        <v>592</v>
      </c>
      <c r="I21" s="320">
        <f t="shared" ref="H21:T24" si="6">I22</f>
        <v>0</v>
      </c>
      <c r="J21" s="320">
        <f t="shared" si="6"/>
        <v>592</v>
      </c>
      <c r="K21" s="407">
        <f t="shared" si="6"/>
        <v>0</v>
      </c>
      <c r="L21" s="407">
        <f t="shared" si="6"/>
        <v>0</v>
      </c>
      <c r="M21" s="321">
        <f t="shared" si="6"/>
        <v>0</v>
      </c>
      <c r="N21" s="321">
        <f t="shared" si="6"/>
        <v>0</v>
      </c>
      <c r="O21" s="310">
        <f t="shared" si="6"/>
        <v>0</v>
      </c>
      <c r="P21" s="310">
        <f t="shared" si="6"/>
        <v>0</v>
      </c>
      <c r="Q21" s="321">
        <f t="shared" si="6"/>
        <v>0</v>
      </c>
      <c r="R21" s="321">
        <f t="shared" si="6"/>
        <v>0</v>
      </c>
      <c r="S21" s="310">
        <f t="shared" si="6"/>
        <v>0</v>
      </c>
      <c r="T21" s="310">
        <f t="shared" si="6"/>
        <v>0</v>
      </c>
      <c r="U21" s="131">
        <f>G21+K21+M21+O21+Q21+S21+H21</f>
        <v>592</v>
      </c>
      <c r="V21" s="131">
        <f>I21+L21+N21+P21+R21+T21+J21</f>
        <v>592</v>
      </c>
    </row>
    <row r="22" spans="1:232" s="77" customFormat="1" ht="31.5" customHeight="1" outlineLevel="1" x14ac:dyDescent="0.25">
      <c r="A22" s="78" t="s">
        <v>1038</v>
      </c>
      <c r="B22" s="79" t="s">
        <v>22</v>
      </c>
      <c r="C22" s="79" t="s">
        <v>25</v>
      </c>
      <c r="D22" s="79" t="s">
        <v>14</v>
      </c>
      <c r="E22" s="79" t="s">
        <v>365</v>
      </c>
      <c r="F22" s="79" t="s">
        <v>9</v>
      </c>
      <c r="G22" s="311">
        <f>G23</f>
        <v>0</v>
      </c>
      <c r="H22" s="311">
        <f t="shared" si="6"/>
        <v>592</v>
      </c>
      <c r="I22" s="320">
        <f t="shared" si="6"/>
        <v>0</v>
      </c>
      <c r="J22" s="320">
        <f t="shared" si="6"/>
        <v>592</v>
      </c>
      <c r="K22" s="407">
        <f t="shared" si="6"/>
        <v>0</v>
      </c>
      <c r="L22" s="407">
        <f t="shared" si="6"/>
        <v>0</v>
      </c>
      <c r="M22" s="321">
        <f t="shared" si="6"/>
        <v>0</v>
      </c>
      <c r="N22" s="321">
        <f t="shared" si="6"/>
        <v>0</v>
      </c>
      <c r="O22" s="310">
        <f t="shared" si="6"/>
        <v>0</v>
      </c>
      <c r="P22" s="310">
        <f t="shared" si="6"/>
        <v>0</v>
      </c>
      <c r="Q22" s="321">
        <f t="shared" si="6"/>
        <v>0</v>
      </c>
      <c r="R22" s="321">
        <f t="shared" si="6"/>
        <v>0</v>
      </c>
      <c r="S22" s="310">
        <f t="shared" si="6"/>
        <v>0</v>
      </c>
      <c r="T22" s="310">
        <f t="shared" si="6"/>
        <v>0</v>
      </c>
      <c r="U22" s="132">
        <f>G22+K22+M22+O22+Q22+S22+H22</f>
        <v>592</v>
      </c>
      <c r="V22" s="132">
        <f>I22+L22+N22+P22+R22+T22+J22</f>
        <v>592</v>
      </c>
    </row>
    <row r="23" spans="1:232" s="77" customFormat="1" ht="31.5" customHeight="1" outlineLevel="1" x14ac:dyDescent="0.25">
      <c r="A23" s="78" t="s">
        <v>692</v>
      </c>
      <c r="B23" s="79" t="s">
        <v>22</v>
      </c>
      <c r="C23" s="79" t="s">
        <v>25</v>
      </c>
      <c r="D23" s="79" t="s">
        <v>14</v>
      </c>
      <c r="E23" s="79" t="s">
        <v>381</v>
      </c>
      <c r="F23" s="79" t="s">
        <v>9</v>
      </c>
      <c r="G23" s="311">
        <f>G24</f>
        <v>0</v>
      </c>
      <c r="H23" s="311">
        <f t="shared" si="6"/>
        <v>592</v>
      </c>
      <c r="I23" s="320">
        <f t="shared" si="6"/>
        <v>0</v>
      </c>
      <c r="J23" s="320">
        <f t="shared" si="6"/>
        <v>592</v>
      </c>
      <c r="K23" s="407">
        <f t="shared" si="6"/>
        <v>0</v>
      </c>
      <c r="L23" s="407">
        <f t="shared" si="6"/>
        <v>0</v>
      </c>
      <c r="M23" s="321">
        <f t="shared" si="6"/>
        <v>0</v>
      </c>
      <c r="N23" s="321">
        <f t="shared" si="6"/>
        <v>0</v>
      </c>
      <c r="O23" s="310">
        <f t="shared" si="6"/>
        <v>0</v>
      </c>
      <c r="P23" s="310">
        <f t="shared" si="6"/>
        <v>0</v>
      </c>
      <c r="Q23" s="321">
        <f t="shared" si="6"/>
        <v>0</v>
      </c>
      <c r="R23" s="321">
        <f t="shared" si="6"/>
        <v>0</v>
      </c>
      <c r="S23" s="310">
        <f t="shared" si="6"/>
        <v>0</v>
      </c>
      <c r="T23" s="310">
        <f t="shared" si="6"/>
        <v>0</v>
      </c>
      <c r="U23" s="132">
        <f>G23+K23+M23+O23+Q23+S23+H23</f>
        <v>592</v>
      </c>
      <c r="V23" s="132">
        <f>I23+L23+N23+P23+R23+T23+J23</f>
        <v>592</v>
      </c>
    </row>
    <row r="24" spans="1:232" s="77" customFormat="1" ht="31.5" customHeight="1" outlineLevel="1" x14ac:dyDescent="0.25">
      <c r="A24" s="78" t="s">
        <v>133</v>
      </c>
      <c r="B24" s="79" t="s">
        <v>22</v>
      </c>
      <c r="C24" s="79" t="s">
        <v>25</v>
      </c>
      <c r="D24" s="79" t="s">
        <v>14</v>
      </c>
      <c r="E24" s="79" t="s">
        <v>382</v>
      </c>
      <c r="F24" s="79" t="s">
        <v>9</v>
      </c>
      <c r="G24" s="311">
        <f>G25</f>
        <v>0</v>
      </c>
      <c r="H24" s="311">
        <f t="shared" si="6"/>
        <v>592</v>
      </c>
      <c r="I24" s="320"/>
      <c r="J24" s="320">
        <f t="shared" si="6"/>
        <v>592</v>
      </c>
      <c r="K24" s="407">
        <f t="shared" si="6"/>
        <v>0</v>
      </c>
      <c r="L24" s="407">
        <f t="shared" si="6"/>
        <v>0</v>
      </c>
      <c r="M24" s="321">
        <f t="shared" si="6"/>
        <v>0</v>
      </c>
      <c r="N24" s="321">
        <f t="shared" si="6"/>
        <v>0</v>
      </c>
      <c r="O24" s="310">
        <f t="shared" si="6"/>
        <v>0</v>
      </c>
      <c r="P24" s="310">
        <f t="shared" si="6"/>
        <v>0</v>
      </c>
      <c r="Q24" s="321">
        <f t="shared" si="6"/>
        <v>0</v>
      </c>
      <c r="R24" s="321">
        <f t="shared" si="6"/>
        <v>0</v>
      </c>
      <c r="S24" s="310">
        <f t="shared" si="6"/>
        <v>0</v>
      </c>
      <c r="T24" s="310">
        <f t="shared" si="6"/>
        <v>0</v>
      </c>
      <c r="U24" s="132">
        <f>G24+K24+M24+O24+Q24+S24+H24</f>
        <v>592</v>
      </c>
      <c r="V24" s="132">
        <f>I24+L24+N24+P24+R24+T24+J24</f>
        <v>592</v>
      </c>
    </row>
    <row r="25" spans="1:232" s="77" customFormat="1" ht="31.5" customHeight="1" outlineLevel="1" x14ac:dyDescent="0.25">
      <c r="A25" s="74" t="s">
        <v>115</v>
      </c>
      <c r="B25" s="75" t="s">
        <v>22</v>
      </c>
      <c r="C25" s="75" t="s">
        <v>25</v>
      </c>
      <c r="D25" s="75" t="s">
        <v>14</v>
      </c>
      <c r="E25" s="75" t="s">
        <v>382</v>
      </c>
      <c r="F25" s="75" t="s">
        <v>113</v>
      </c>
      <c r="G25" s="311"/>
      <c r="H25" s="311">
        <v>592</v>
      </c>
      <c r="I25" s="320"/>
      <c r="J25" s="320">
        <v>592</v>
      </c>
      <c r="K25" s="409"/>
      <c r="L25" s="409"/>
      <c r="M25" s="323"/>
      <c r="N25" s="323"/>
      <c r="O25" s="313"/>
      <c r="P25" s="313"/>
      <c r="Q25" s="323"/>
      <c r="R25" s="323"/>
      <c r="S25" s="313"/>
      <c r="T25" s="313"/>
      <c r="U25" s="131">
        <f>G25+K25+M25+O25+Q25+S25+H25</f>
        <v>592</v>
      </c>
      <c r="V25" s="131">
        <f>I25+L25+N25+P25+R25+T25+J25</f>
        <v>592</v>
      </c>
    </row>
    <row r="26" spans="1:232" s="77" customFormat="1" x14ac:dyDescent="0.25">
      <c r="A26" s="74" t="s">
        <v>30</v>
      </c>
      <c r="B26" s="75" t="s">
        <v>22</v>
      </c>
      <c r="C26" s="75" t="s">
        <v>31</v>
      </c>
      <c r="D26" s="75" t="s">
        <v>10</v>
      </c>
      <c r="E26" s="75" t="s">
        <v>365</v>
      </c>
      <c r="F26" s="75" t="s">
        <v>9</v>
      </c>
      <c r="G26" s="311">
        <f t="shared" ref="G26:O26" si="7">G27+G45+G113+G120+G93</f>
        <v>212065.527</v>
      </c>
      <c r="H26" s="311">
        <f>H27+H45+H113+H120+H93</f>
        <v>154741.87299999999</v>
      </c>
      <c r="I26" s="320">
        <f t="shared" si="7"/>
        <v>211960.32699999999</v>
      </c>
      <c r="J26" s="320">
        <f>J27+J45+J113+J120+J93</f>
        <v>155966.073</v>
      </c>
      <c r="K26" s="407">
        <f t="shared" si="7"/>
        <v>0</v>
      </c>
      <c r="L26" s="407">
        <f t="shared" si="7"/>
        <v>0</v>
      </c>
      <c r="M26" s="321">
        <f t="shared" si="7"/>
        <v>0</v>
      </c>
      <c r="N26" s="321">
        <f t="shared" si="7"/>
        <v>0</v>
      </c>
      <c r="O26" s="310">
        <f t="shared" si="7"/>
        <v>0</v>
      </c>
      <c r="P26" s="310">
        <f>P27+P45+P113+P120+P93</f>
        <v>0</v>
      </c>
      <c r="Q26" s="321">
        <f>Q27+Q45+Q113+Q120+Q93</f>
        <v>0</v>
      </c>
      <c r="R26" s="321">
        <f>R27+R45+R113+R120+R93</f>
        <v>0</v>
      </c>
      <c r="S26" s="310">
        <f>S27+S45+S113+S120+S93</f>
        <v>0</v>
      </c>
      <c r="T26" s="310">
        <f>T27+T45+T113+T120+T93</f>
        <v>0</v>
      </c>
      <c r="U26" s="131">
        <f t="shared" si="2"/>
        <v>366807.4</v>
      </c>
      <c r="V26" s="131">
        <f t="shared" si="3"/>
        <v>367926.4</v>
      </c>
    </row>
    <row r="27" spans="1:232" s="80" customFormat="1" x14ac:dyDescent="0.25">
      <c r="A27" s="78" t="s">
        <v>32</v>
      </c>
      <c r="B27" s="79" t="s">
        <v>22</v>
      </c>
      <c r="C27" s="79" t="s">
        <v>31</v>
      </c>
      <c r="D27" s="79" t="s">
        <v>14</v>
      </c>
      <c r="E27" s="79" t="s">
        <v>365</v>
      </c>
      <c r="F27" s="79" t="s">
        <v>9</v>
      </c>
      <c r="G27" s="316">
        <f t="shared" ref="G27:T27" si="8">G28</f>
        <v>31158</v>
      </c>
      <c r="H27" s="316">
        <f t="shared" si="8"/>
        <v>55010.2</v>
      </c>
      <c r="I27" s="338">
        <f t="shared" si="8"/>
        <v>31158</v>
      </c>
      <c r="J27" s="338">
        <f t="shared" si="8"/>
        <v>53162</v>
      </c>
      <c r="K27" s="408">
        <f t="shared" si="8"/>
        <v>0</v>
      </c>
      <c r="L27" s="408">
        <f t="shared" si="8"/>
        <v>0</v>
      </c>
      <c r="M27" s="322">
        <f t="shared" si="8"/>
        <v>0</v>
      </c>
      <c r="N27" s="322">
        <f t="shared" si="8"/>
        <v>0</v>
      </c>
      <c r="O27" s="312">
        <f t="shared" si="8"/>
        <v>0</v>
      </c>
      <c r="P27" s="312">
        <f t="shared" si="8"/>
        <v>0</v>
      </c>
      <c r="Q27" s="322">
        <f t="shared" si="8"/>
        <v>0</v>
      </c>
      <c r="R27" s="322">
        <f t="shared" si="8"/>
        <v>0</v>
      </c>
      <c r="S27" s="312">
        <f t="shared" si="8"/>
        <v>0</v>
      </c>
      <c r="T27" s="312">
        <f t="shared" si="8"/>
        <v>0</v>
      </c>
      <c r="U27" s="132">
        <f t="shared" si="2"/>
        <v>86168.2</v>
      </c>
      <c r="V27" s="132">
        <f t="shared" si="3"/>
        <v>84320</v>
      </c>
    </row>
    <row r="28" spans="1:232" s="80" customFormat="1" ht="31.5" x14ac:dyDescent="0.25">
      <c r="A28" s="78" t="s">
        <v>783</v>
      </c>
      <c r="B28" s="79" t="s">
        <v>22</v>
      </c>
      <c r="C28" s="79" t="s">
        <v>31</v>
      </c>
      <c r="D28" s="79" t="s">
        <v>14</v>
      </c>
      <c r="E28" s="79" t="s">
        <v>366</v>
      </c>
      <c r="F28" s="79" t="s">
        <v>9</v>
      </c>
      <c r="G28" s="316">
        <f t="shared" ref="G28:O28" si="9">G29+G40</f>
        <v>31158</v>
      </c>
      <c r="H28" s="316">
        <f>H29+H40</f>
        <v>55010.2</v>
      </c>
      <c r="I28" s="338">
        <f t="shared" si="9"/>
        <v>31158</v>
      </c>
      <c r="J28" s="338">
        <f>J29+J40</f>
        <v>53162</v>
      </c>
      <c r="K28" s="408">
        <f t="shared" si="9"/>
        <v>0</v>
      </c>
      <c r="L28" s="408">
        <f t="shared" si="9"/>
        <v>0</v>
      </c>
      <c r="M28" s="322">
        <f t="shared" si="9"/>
        <v>0</v>
      </c>
      <c r="N28" s="322">
        <f t="shared" si="9"/>
        <v>0</v>
      </c>
      <c r="O28" s="312">
        <f t="shared" si="9"/>
        <v>0</v>
      </c>
      <c r="P28" s="312">
        <f>P29+P40</f>
        <v>0</v>
      </c>
      <c r="Q28" s="322">
        <f>Q29+Q40</f>
        <v>0</v>
      </c>
      <c r="R28" s="322">
        <f>R29+R40</f>
        <v>0</v>
      </c>
      <c r="S28" s="312">
        <f>S29+S40</f>
        <v>0</v>
      </c>
      <c r="T28" s="312">
        <f>T29+T40</f>
        <v>0</v>
      </c>
      <c r="U28" s="132">
        <f t="shared" si="2"/>
        <v>86168.2</v>
      </c>
      <c r="V28" s="132">
        <f t="shared" si="3"/>
        <v>84320</v>
      </c>
    </row>
    <row r="29" spans="1:232" s="80" customFormat="1" ht="31.5" x14ac:dyDescent="0.25">
      <c r="A29" s="78" t="s">
        <v>565</v>
      </c>
      <c r="B29" s="79" t="s">
        <v>22</v>
      </c>
      <c r="C29" s="79" t="s">
        <v>31</v>
      </c>
      <c r="D29" s="79" t="s">
        <v>14</v>
      </c>
      <c r="E29" s="79" t="s">
        <v>370</v>
      </c>
      <c r="F29" s="79" t="s">
        <v>9</v>
      </c>
      <c r="G29" s="316">
        <f t="shared" ref="G29:O29" si="10">G30+G34+G38</f>
        <v>0</v>
      </c>
      <c r="H29" s="316">
        <f>H30+H34+H38</f>
        <v>55010.2</v>
      </c>
      <c r="I29" s="338">
        <f t="shared" si="10"/>
        <v>0</v>
      </c>
      <c r="J29" s="338">
        <f>J30+J34+J38</f>
        <v>53162</v>
      </c>
      <c r="K29" s="408">
        <f t="shared" si="10"/>
        <v>0</v>
      </c>
      <c r="L29" s="408">
        <f t="shared" si="10"/>
        <v>0</v>
      </c>
      <c r="M29" s="322">
        <f t="shared" si="10"/>
        <v>0</v>
      </c>
      <c r="N29" s="322">
        <f t="shared" si="10"/>
        <v>0</v>
      </c>
      <c r="O29" s="312">
        <f t="shared" si="10"/>
        <v>0</v>
      </c>
      <c r="P29" s="312">
        <f>P30+P34+P38</f>
        <v>0</v>
      </c>
      <c r="Q29" s="322">
        <f>Q30+Q34+Q38</f>
        <v>0</v>
      </c>
      <c r="R29" s="322">
        <f>R30+R34+R38</f>
        <v>0</v>
      </c>
      <c r="S29" s="312">
        <f>S30+S34+S38</f>
        <v>0</v>
      </c>
      <c r="T29" s="312">
        <f>T30+T34+T38</f>
        <v>0</v>
      </c>
      <c r="U29" s="132">
        <f t="shared" si="2"/>
        <v>55010.2</v>
      </c>
      <c r="V29" s="132">
        <f t="shared" si="3"/>
        <v>53162</v>
      </c>
    </row>
    <row r="30" spans="1:232" s="80" customFormat="1" x14ac:dyDescent="0.25">
      <c r="A30" s="78" t="s">
        <v>179</v>
      </c>
      <c r="B30" s="79" t="s">
        <v>22</v>
      </c>
      <c r="C30" s="79" t="s">
        <v>31</v>
      </c>
      <c r="D30" s="79" t="s">
        <v>14</v>
      </c>
      <c r="E30" s="79" t="s">
        <v>371</v>
      </c>
      <c r="F30" s="79" t="s">
        <v>9</v>
      </c>
      <c r="G30" s="316">
        <f t="shared" ref="G30:O30" si="11">G32+G33+G31</f>
        <v>0</v>
      </c>
      <c r="H30" s="316">
        <f>H32+H33+H31</f>
        <v>26629.600000000002</v>
      </c>
      <c r="I30" s="338">
        <f t="shared" si="11"/>
        <v>0</v>
      </c>
      <c r="J30" s="338">
        <f>J32+J33+J31</f>
        <v>24766.400000000001</v>
      </c>
      <c r="K30" s="408">
        <f t="shared" si="11"/>
        <v>0</v>
      </c>
      <c r="L30" s="408">
        <f t="shared" si="11"/>
        <v>0</v>
      </c>
      <c r="M30" s="322">
        <f t="shared" si="11"/>
        <v>0</v>
      </c>
      <c r="N30" s="322">
        <f t="shared" si="11"/>
        <v>0</v>
      </c>
      <c r="O30" s="312">
        <f t="shared" si="11"/>
        <v>0</v>
      </c>
      <c r="P30" s="312">
        <f>P32+P33+P31</f>
        <v>0</v>
      </c>
      <c r="Q30" s="322">
        <f>Q32+Q33+Q31</f>
        <v>0</v>
      </c>
      <c r="R30" s="322">
        <f>R32+R33+R31</f>
        <v>0</v>
      </c>
      <c r="S30" s="312">
        <f>S32+S33+S31</f>
        <v>0</v>
      </c>
      <c r="T30" s="312">
        <f>T32+T33+T31</f>
        <v>0</v>
      </c>
      <c r="U30" s="132">
        <f t="shared" si="2"/>
        <v>26629.600000000002</v>
      </c>
      <c r="V30" s="132">
        <f t="shared" si="3"/>
        <v>24766.400000000001</v>
      </c>
    </row>
    <row r="31" spans="1:232" s="80" customFormat="1" ht="63" x14ac:dyDescent="0.25">
      <c r="A31" s="74" t="s">
        <v>115</v>
      </c>
      <c r="B31" s="75" t="s">
        <v>22</v>
      </c>
      <c r="C31" s="75" t="s">
        <v>31</v>
      </c>
      <c r="D31" s="75" t="s">
        <v>14</v>
      </c>
      <c r="E31" s="75" t="s">
        <v>371</v>
      </c>
      <c r="F31" s="75" t="s">
        <v>113</v>
      </c>
      <c r="G31" s="311"/>
      <c r="H31" s="311">
        <f>33832-25000-1157</f>
        <v>7675</v>
      </c>
      <c r="I31" s="320"/>
      <c r="J31" s="320">
        <f>33832-25000-1172</f>
        <v>7660</v>
      </c>
      <c r="K31" s="409"/>
      <c r="L31" s="407"/>
      <c r="M31" s="323"/>
      <c r="N31" s="323"/>
      <c r="O31" s="313"/>
      <c r="P31" s="313"/>
      <c r="Q31" s="323"/>
      <c r="R31" s="323"/>
      <c r="S31" s="313"/>
      <c r="T31" s="313"/>
      <c r="U31" s="131">
        <f t="shared" si="2"/>
        <v>7675</v>
      </c>
      <c r="V31" s="131">
        <f t="shared" si="3"/>
        <v>7660</v>
      </c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7"/>
      <c r="HP31" s="77"/>
      <c r="HQ31" s="77"/>
      <c r="HR31" s="74"/>
      <c r="HS31" s="75"/>
      <c r="HT31" s="75"/>
      <c r="HU31" s="75"/>
      <c r="HV31" s="75"/>
      <c r="HW31" s="75"/>
      <c r="HX31" s="76"/>
    </row>
    <row r="32" spans="1:232" s="77" customFormat="1" ht="31.5" x14ac:dyDescent="0.25">
      <c r="A32" s="264" t="s">
        <v>124</v>
      </c>
      <c r="B32" s="265" t="s">
        <v>22</v>
      </c>
      <c r="C32" s="265" t="s">
        <v>31</v>
      </c>
      <c r="D32" s="265" t="s">
        <v>14</v>
      </c>
      <c r="E32" s="265" t="s">
        <v>371</v>
      </c>
      <c r="F32" s="265" t="s">
        <v>117</v>
      </c>
      <c r="G32" s="311"/>
      <c r="H32" s="311">
        <f>13400+7967.4-2000-700</f>
        <v>18667.400000000001</v>
      </c>
      <c r="I32" s="320"/>
      <c r="J32" s="320">
        <f>13400+7967.4-2000-700-1826.5</f>
        <v>16840.900000000001</v>
      </c>
      <c r="K32" s="409"/>
      <c r="L32" s="407"/>
      <c r="M32" s="323"/>
      <c r="N32" s="323"/>
      <c r="O32" s="313"/>
      <c r="P32" s="313"/>
      <c r="Q32" s="323"/>
      <c r="R32" s="323"/>
      <c r="S32" s="313"/>
      <c r="T32" s="313"/>
      <c r="U32" s="131">
        <f t="shared" si="2"/>
        <v>18667.400000000001</v>
      </c>
      <c r="V32" s="131">
        <f t="shared" si="3"/>
        <v>16840.900000000001</v>
      </c>
    </row>
    <row r="33" spans="1:22" s="77" customFormat="1" x14ac:dyDescent="0.25">
      <c r="A33" s="74" t="s">
        <v>116</v>
      </c>
      <c r="B33" s="75" t="s">
        <v>22</v>
      </c>
      <c r="C33" s="75" t="s">
        <v>31</v>
      </c>
      <c r="D33" s="75" t="s">
        <v>14</v>
      </c>
      <c r="E33" s="75" t="s">
        <v>371</v>
      </c>
      <c r="F33" s="75" t="s">
        <v>114</v>
      </c>
      <c r="G33" s="311"/>
      <c r="H33" s="311">
        <f>510.8-223.6</f>
        <v>287.20000000000005</v>
      </c>
      <c r="I33" s="320"/>
      <c r="J33" s="320">
        <f>510.8-223.6-21.7</f>
        <v>265.50000000000006</v>
      </c>
      <c r="K33" s="409"/>
      <c r="L33" s="409"/>
      <c r="M33" s="323"/>
      <c r="N33" s="323"/>
      <c r="O33" s="313"/>
      <c r="P33" s="313"/>
      <c r="Q33" s="323"/>
      <c r="R33" s="323"/>
      <c r="S33" s="313"/>
      <c r="T33" s="313"/>
      <c r="U33" s="131">
        <f t="shared" si="2"/>
        <v>287.20000000000005</v>
      </c>
      <c r="V33" s="131">
        <f t="shared" si="3"/>
        <v>265.50000000000006</v>
      </c>
    </row>
    <row r="34" spans="1:22" s="80" customFormat="1" x14ac:dyDescent="0.25">
      <c r="A34" s="78" t="s">
        <v>179</v>
      </c>
      <c r="B34" s="79" t="s">
        <v>22</v>
      </c>
      <c r="C34" s="79" t="s">
        <v>31</v>
      </c>
      <c r="D34" s="79" t="s">
        <v>14</v>
      </c>
      <c r="E34" s="79" t="s">
        <v>466</v>
      </c>
      <c r="F34" s="79" t="s">
        <v>9</v>
      </c>
      <c r="G34" s="316">
        <f t="shared" ref="G34:T34" si="12">G35+G37+G36</f>
        <v>0</v>
      </c>
      <c r="H34" s="316">
        <f t="shared" si="12"/>
        <v>27223.599999999999</v>
      </c>
      <c r="I34" s="338">
        <f t="shared" si="12"/>
        <v>0</v>
      </c>
      <c r="J34" s="338">
        <f t="shared" si="12"/>
        <v>27223.599999999999</v>
      </c>
      <c r="K34" s="408">
        <f t="shared" si="12"/>
        <v>0</v>
      </c>
      <c r="L34" s="408">
        <f t="shared" si="12"/>
        <v>0</v>
      </c>
      <c r="M34" s="322">
        <f t="shared" si="12"/>
        <v>0</v>
      </c>
      <c r="N34" s="322">
        <f t="shared" si="12"/>
        <v>0</v>
      </c>
      <c r="O34" s="312">
        <f t="shared" si="12"/>
        <v>0</v>
      </c>
      <c r="P34" s="312">
        <f t="shared" si="12"/>
        <v>0</v>
      </c>
      <c r="Q34" s="322">
        <f t="shared" si="12"/>
        <v>0</v>
      </c>
      <c r="R34" s="322">
        <f t="shared" si="12"/>
        <v>0</v>
      </c>
      <c r="S34" s="312">
        <f t="shared" si="12"/>
        <v>0</v>
      </c>
      <c r="T34" s="312">
        <f t="shared" si="12"/>
        <v>0</v>
      </c>
      <c r="U34" s="132">
        <f t="shared" si="2"/>
        <v>27223.599999999999</v>
      </c>
      <c r="V34" s="132">
        <f t="shared" si="3"/>
        <v>27223.599999999999</v>
      </c>
    </row>
    <row r="35" spans="1:22" s="77" customFormat="1" ht="63" x14ac:dyDescent="0.25">
      <c r="A35" s="74" t="s">
        <v>115</v>
      </c>
      <c r="B35" s="75" t="s">
        <v>22</v>
      </c>
      <c r="C35" s="75" t="s">
        <v>31</v>
      </c>
      <c r="D35" s="75" t="s">
        <v>14</v>
      </c>
      <c r="E35" s="75" t="s">
        <v>466</v>
      </c>
      <c r="F35" s="75" t="s">
        <v>113</v>
      </c>
      <c r="G35" s="311"/>
      <c r="H35" s="311">
        <v>25000</v>
      </c>
      <c r="I35" s="320"/>
      <c r="J35" s="320">
        <v>25000</v>
      </c>
      <c r="K35" s="409"/>
      <c r="L35" s="409"/>
      <c r="M35" s="323"/>
      <c r="N35" s="323"/>
      <c r="O35" s="313"/>
      <c r="P35" s="313"/>
      <c r="Q35" s="323"/>
      <c r="R35" s="323"/>
      <c r="S35" s="313"/>
      <c r="T35" s="313"/>
      <c r="U35" s="131">
        <f t="shared" si="2"/>
        <v>25000</v>
      </c>
      <c r="V35" s="131">
        <f t="shared" si="3"/>
        <v>25000</v>
      </c>
    </row>
    <row r="36" spans="1:22" s="77" customFormat="1" ht="31.5" x14ac:dyDescent="0.25">
      <c r="A36" s="74" t="s">
        <v>124</v>
      </c>
      <c r="B36" s="75" t="s">
        <v>22</v>
      </c>
      <c r="C36" s="75" t="s">
        <v>31</v>
      </c>
      <c r="D36" s="75" t="s">
        <v>14</v>
      </c>
      <c r="E36" s="75" t="s">
        <v>466</v>
      </c>
      <c r="F36" s="75" t="s">
        <v>117</v>
      </c>
      <c r="G36" s="311"/>
      <c r="H36" s="311">
        <v>2000</v>
      </c>
      <c r="I36" s="320"/>
      <c r="J36" s="320">
        <v>2000</v>
      </c>
      <c r="K36" s="409"/>
      <c r="L36" s="409"/>
      <c r="M36" s="323"/>
      <c r="N36" s="323"/>
      <c r="O36" s="313"/>
      <c r="P36" s="313"/>
      <c r="Q36" s="323"/>
      <c r="R36" s="323"/>
      <c r="S36" s="313"/>
      <c r="T36" s="313"/>
      <c r="U36" s="131">
        <f t="shared" si="2"/>
        <v>2000</v>
      </c>
      <c r="V36" s="131">
        <f t="shared" si="3"/>
        <v>2000</v>
      </c>
    </row>
    <row r="37" spans="1:22" s="77" customFormat="1" x14ac:dyDescent="0.25">
      <c r="A37" s="74" t="s">
        <v>116</v>
      </c>
      <c r="B37" s="75" t="s">
        <v>22</v>
      </c>
      <c r="C37" s="75" t="s">
        <v>31</v>
      </c>
      <c r="D37" s="75" t="s">
        <v>14</v>
      </c>
      <c r="E37" s="75" t="s">
        <v>466</v>
      </c>
      <c r="F37" s="75" t="s">
        <v>114</v>
      </c>
      <c r="G37" s="311"/>
      <c r="H37" s="311">
        <v>223.6</v>
      </c>
      <c r="I37" s="320"/>
      <c r="J37" s="320">
        <v>223.6</v>
      </c>
      <c r="K37" s="409"/>
      <c r="L37" s="409"/>
      <c r="M37" s="323"/>
      <c r="N37" s="323"/>
      <c r="O37" s="313"/>
      <c r="P37" s="313"/>
      <c r="Q37" s="323"/>
      <c r="R37" s="323"/>
      <c r="S37" s="313"/>
      <c r="T37" s="313"/>
      <c r="U37" s="131">
        <f t="shared" si="2"/>
        <v>223.6</v>
      </c>
      <c r="V37" s="131">
        <f t="shared" si="3"/>
        <v>223.6</v>
      </c>
    </row>
    <row r="38" spans="1:22" s="80" customFormat="1" ht="18.75" x14ac:dyDescent="0.25">
      <c r="A38" s="78" t="s">
        <v>179</v>
      </c>
      <c r="B38" s="79" t="s">
        <v>22</v>
      </c>
      <c r="C38" s="379" t="s">
        <v>31</v>
      </c>
      <c r="D38" s="79" t="s">
        <v>14</v>
      </c>
      <c r="E38" s="79" t="s">
        <v>467</v>
      </c>
      <c r="F38" s="79" t="s">
        <v>9</v>
      </c>
      <c r="G38" s="316">
        <f t="shared" ref="G38:T38" si="13">G39</f>
        <v>0</v>
      </c>
      <c r="H38" s="316">
        <f t="shared" si="13"/>
        <v>1157</v>
      </c>
      <c r="I38" s="338">
        <f t="shared" si="13"/>
        <v>0</v>
      </c>
      <c r="J38" s="338">
        <f t="shared" si="13"/>
        <v>1172</v>
      </c>
      <c r="K38" s="408">
        <f t="shared" si="13"/>
        <v>0</v>
      </c>
      <c r="L38" s="408">
        <f t="shared" si="13"/>
        <v>0</v>
      </c>
      <c r="M38" s="322">
        <f t="shared" si="13"/>
        <v>0</v>
      </c>
      <c r="N38" s="322">
        <f t="shared" si="13"/>
        <v>0</v>
      </c>
      <c r="O38" s="312">
        <f t="shared" si="13"/>
        <v>0</v>
      </c>
      <c r="P38" s="312">
        <f t="shared" si="13"/>
        <v>0</v>
      </c>
      <c r="Q38" s="322">
        <f t="shared" si="13"/>
        <v>0</v>
      </c>
      <c r="R38" s="322">
        <f t="shared" si="13"/>
        <v>0</v>
      </c>
      <c r="S38" s="312">
        <f t="shared" si="13"/>
        <v>0</v>
      </c>
      <c r="T38" s="312">
        <f t="shared" si="13"/>
        <v>0</v>
      </c>
      <c r="U38" s="132">
        <f t="shared" si="2"/>
        <v>1157</v>
      </c>
      <c r="V38" s="132">
        <f t="shared" si="3"/>
        <v>1172</v>
      </c>
    </row>
    <row r="39" spans="1:22" s="77" customFormat="1" ht="63" x14ac:dyDescent="0.25">
      <c r="A39" s="74" t="s">
        <v>115</v>
      </c>
      <c r="B39" s="75" t="s">
        <v>22</v>
      </c>
      <c r="C39" s="75" t="s">
        <v>31</v>
      </c>
      <c r="D39" s="75" t="s">
        <v>14</v>
      </c>
      <c r="E39" s="75" t="s">
        <v>467</v>
      </c>
      <c r="F39" s="75" t="s">
        <v>113</v>
      </c>
      <c r="G39" s="311"/>
      <c r="H39" s="311">
        <v>1157</v>
      </c>
      <c r="I39" s="320"/>
      <c r="J39" s="320">
        <v>1172</v>
      </c>
      <c r="K39" s="409"/>
      <c r="L39" s="407"/>
      <c r="M39" s="323"/>
      <c r="N39" s="323"/>
      <c r="O39" s="313"/>
      <c r="P39" s="313"/>
      <c r="Q39" s="323"/>
      <c r="R39" s="323"/>
      <c r="S39" s="313"/>
      <c r="T39" s="313"/>
      <c r="U39" s="131">
        <f t="shared" si="2"/>
        <v>1157</v>
      </c>
      <c r="V39" s="131">
        <f t="shared" si="3"/>
        <v>1172</v>
      </c>
    </row>
    <row r="40" spans="1:22" s="80" customFormat="1" x14ac:dyDescent="0.25">
      <c r="A40" s="78" t="s">
        <v>33</v>
      </c>
      <c r="B40" s="79" t="s">
        <v>22</v>
      </c>
      <c r="C40" s="79" t="s">
        <v>31</v>
      </c>
      <c r="D40" s="79" t="s">
        <v>14</v>
      </c>
      <c r="E40" s="79" t="s">
        <v>372</v>
      </c>
      <c r="F40" s="79" t="s">
        <v>9</v>
      </c>
      <c r="G40" s="316">
        <f t="shared" ref="G40:T40" si="14">G41</f>
        <v>31158</v>
      </c>
      <c r="H40" s="316">
        <f t="shared" si="14"/>
        <v>0</v>
      </c>
      <c r="I40" s="338">
        <f t="shared" si="14"/>
        <v>31158</v>
      </c>
      <c r="J40" s="338">
        <f t="shared" si="14"/>
        <v>0</v>
      </c>
      <c r="K40" s="408">
        <f t="shared" si="14"/>
        <v>0</v>
      </c>
      <c r="L40" s="408">
        <f t="shared" si="14"/>
        <v>0</v>
      </c>
      <c r="M40" s="322">
        <f t="shared" si="14"/>
        <v>0</v>
      </c>
      <c r="N40" s="322">
        <f t="shared" si="14"/>
        <v>0</v>
      </c>
      <c r="O40" s="312">
        <f t="shared" si="14"/>
        <v>0</v>
      </c>
      <c r="P40" s="312">
        <f t="shared" si="14"/>
        <v>0</v>
      </c>
      <c r="Q40" s="322">
        <f t="shared" si="14"/>
        <v>0</v>
      </c>
      <c r="R40" s="322">
        <f t="shared" si="14"/>
        <v>0</v>
      </c>
      <c r="S40" s="312">
        <f t="shared" si="14"/>
        <v>0</v>
      </c>
      <c r="T40" s="312">
        <f t="shared" si="14"/>
        <v>0</v>
      </c>
      <c r="U40" s="132">
        <f t="shared" si="2"/>
        <v>31158</v>
      </c>
      <c r="V40" s="132">
        <f t="shared" si="3"/>
        <v>31158</v>
      </c>
    </row>
    <row r="41" spans="1:22" s="80" customFormat="1" ht="47.25" x14ac:dyDescent="0.25">
      <c r="A41" s="78" t="s">
        <v>34</v>
      </c>
      <c r="B41" s="79" t="s">
        <v>22</v>
      </c>
      <c r="C41" s="79" t="s">
        <v>31</v>
      </c>
      <c r="D41" s="79" t="s">
        <v>14</v>
      </c>
      <c r="E41" s="79" t="s">
        <v>373</v>
      </c>
      <c r="F41" s="79" t="s">
        <v>9</v>
      </c>
      <c r="G41" s="316">
        <f t="shared" ref="G41:O41" si="15">G42+G43+G44</f>
        <v>31158</v>
      </c>
      <c r="H41" s="316">
        <f>H42+H43+H44</f>
        <v>0</v>
      </c>
      <c r="I41" s="338">
        <f t="shared" si="15"/>
        <v>31158</v>
      </c>
      <c r="J41" s="338">
        <f>J42+J43+J44</f>
        <v>0</v>
      </c>
      <c r="K41" s="408">
        <f t="shared" si="15"/>
        <v>0</v>
      </c>
      <c r="L41" s="408">
        <f t="shared" si="15"/>
        <v>0</v>
      </c>
      <c r="M41" s="322">
        <f t="shared" si="15"/>
        <v>0</v>
      </c>
      <c r="N41" s="322">
        <f t="shared" si="15"/>
        <v>0</v>
      </c>
      <c r="O41" s="312">
        <f t="shared" si="15"/>
        <v>0</v>
      </c>
      <c r="P41" s="312">
        <f>P42+P43+P44</f>
        <v>0</v>
      </c>
      <c r="Q41" s="322">
        <f>Q42+Q43+Q44</f>
        <v>0</v>
      </c>
      <c r="R41" s="322">
        <f>R42+R43+R44</f>
        <v>0</v>
      </c>
      <c r="S41" s="312">
        <f>S42+S43+S44</f>
        <v>0</v>
      </c>
      <c r="T41" s="312">
        <f>T42+T43+T44</f>
        <v>0</v>
      </c>
      <c r="U41" s="132">
        <f t="shared" si="2"/>
        <v>31158</v>
      </c>
      <c r="V41" s="132">
        <f t="shared" si="3"/>
        <v>31158</v>
      </c>
    </row>
    <row r="42" spans="1:22" s="77" customFormat="1" ht="63" x14ac:dyDescent="0.25">
      <c r="A42" s="74" t="s">
        <v>115</v>
      </c>
      <c r="B42" s="75" t="s">
        <v>22</v>
      </c>
      <c r="C42" s="75" t="s">
        <v>31</v>
      </c>
      <c r="D42" s="75" t="s">
        <v>14</v>
      </c>
      <c r="E42" s="75" t="s">
        <v>373</v>
      </c>
      <c r="F42" s="75" t="s">
        <v>113</v>
      </c>
      <c r="G42" s="311">
        <v>30608.7</v>
      </c>
      <c r="H42" s="311"/>
      <c r="I42" s="320">
        <v>30608.7</v>
      </c>
      <c r="J42" s="320"/>
      <c r="K42" s="409"/>
      <c r="L42" s="407"/>
      <c r="M42" s="323"/>
      <c r="N42" s="323"/>
      <c r="O42" s="313"/>
      <c r="P42" s="313"/>
      <c r="Q42" s="323"/>
      <c r="R42" s="323"/>
      <c r="S42" s="313"/>
      <c r="T42" s="313"/>
      <c r="U42" s="131">
        <f t="shared" si="2"/>
        <v>30608.7</v>
      </c>
      <c r="V42" s="131">
        <f t="shared" si="3"/>
        <v>30608.7</v>
      </c>
    </row>
    <row r="43" spans="1:22" s="77" customFormat="1" ht="31.5" x14ac:dyDescent="0.25">
      <c r="A43" s="74" t="s">
        <v>124</v>
      </c>
      <c r="B43" s="75" t="s">
        <v>22</v>
      </c>
      <c r="C43" s="75" t="s">
        <v>31</v>
      </c>
      <c r="D43" s="75" t="s">
        <v>14</v>
      </c>
      <c r="E43" s="75" t="s">
        <v>373</v>
      </c>
      <c r="F43" s="75" t="s">
        <v>117</v>
      </c>
      <c r="G43" s="311">
        <v>549.29999999999995</v>
      </c>
      <c r="H43" s="311"/>
      <c r="I43" s="320">
        <v>549.29999999999995</v>
      </c>
      <c r="J43" s="320"/>
      <c r="K43" s="409"/>
      <c r="L43" s="409"/>
      <c r="M43" s="323"/>
      <c r="N43" s="323"/>
      <c r="O43" s="313"/>
      <c r="P43" s="313"/>
      <c r="Q43" s="323"/>
      <c r="R43" s="323"/>
      <c r="S43" s="313"/>
      <c r="T43" s="313"/>
      <c r="U43" s="131">
        <f t="shared" si="2"/>
        <v>549.29999999999995</v>
      </c>
      <c r="V43" s="131">
        <f t="shared" si="3"/>
        <v>549.29999999999995</v>
      </c>
    </row>
    <row r="44" spans="1:22" s="77" customFormat="1" ht="15.75" customHeight="1" outlineLevel="1" x14ac:dyDescent="0.25">
      <c r="A44" s="74" t="s">
        <v>125</v>
      </c>
      <c r="B44" s="75" t="s">
        <v>22</v>
      </c>
      <c r="C44" s="75" t="s">
        <v>31</v>
      </c>
      <c r="D44" s="75" t="s">
        <v>14</v>
      </c>
      <c r="E44" s="75" t="s">
        <v>373</v>
      </c>
      <c r="F44" s="75" t="s">
        <v>118</v>
      </c>
      <c r="G44" s="311"/>
      <c r="H44" s="311"/>
      <c r="I44" s="320"/>
      <c r="J44" s="320"/>
      <c r="K44" s="409"/>
      <c r="L44" s="409"/>
      <c r="M44" s="323"/>
      <c r="N44" s="323"/>
      <c r="O44" s="313"/>
      <c r="P44" s="313"/>
      <c r="Q44" s="323"/>
      <c r="R44" s="323"/>
      <c r="S44" s="313"/>
      <c r="T44" s="313"/>
      <c r="U44" s="131">
        <f t="shared" si="2"/>
        <v>0</v>
      </c>
      <c r="V44" s="131">
        <f t="shared" si="3"/>
        <v>0</v>
      </c>
    </row>
    <row r="45" spans="1:22" s="80" customFormat="1" x14ac:dyDescent="0.25">
      <c r="A45" s="78" t="s">
        <v>35</v>
      </c>
      <c r="B45" s="79" t="s">
        <v>22</v>
      </c>
      <c r="C45" s="79" t="s">
        <v>31</v>
      </c>
      <c r="D45" s="79" t="s">
        <v>36</v>
      </c>
      <c r="E45" s="79" t="s">
        <v>365</v>
      </c>
      <c r="F45" s="79" t="s">
        <v>9</v>
      </c>
      <c r="G45" s="316">
        <f t="shared" ref="G45:O45" si="16">G46+G89</f>
        <v>180052.22700000001</v>
      </c>
      <c r="H45" s="316">
        <f>H46+H89</f>
        <v>69736.672999999995</v>
      </c>
      <c r="I45" s="338">
        <f t="shared" si="16"/>
        <v>179947.027</v>
      </c>
      <c r="J45" s="338">
        <f>J46+J89</f>
        <v>70426.672999999995</v>
      </c>
      <c r="K45" s="408">
        <f t="shared" si="16"/>
        <v>0</v>
      </c>
      <c r="L45" s="408">
        <f t="shared" si="16"/>
        <v>0</v>
      </c>
      <c r="M45" s="322">
        <f t="shared" si="16"/>
        <v>0</v>
      </c>
      <c r="N45" s="322">
        <f t="shared" si="16"/>
        <v>0</v>
      </c>
      <c r="O45" s="312">
        <f t="shared" si="16"/>
        <v>0</v>
      </c>
      <c r="P45" s="312">
        <f>P46+P89</f>
        <v>0</v>
      </c>
      <c r="Q45" s="322">
        <f>Q46+Q89</f>
        <v>0</v>
      </c>
      <c r="R45" s="322">
        <f>R46+R89</f>
        <v>0</v>
      </c>
      <c r="S45" s="312">
        <f>S46+S89</f>
        <v>0</v>
      </c>
      <c r="T45" s="312">
        <f>T46+T89</f>
        <v>0</v>
      </c>
      <c r="U45" s="132">
        <f t="shared" si="2"/>
        <v>249788.90000000002</v>
      </c>
      <c r="V45" s="132">
        <f t="shared" si="3"/>
        <v>250373.7</v>
      </c>
    </row>
    <row r="46" spans="1:22" s="80" customFormat="1" ht="31.5" x14ac:dyDescent="0.25">
      <c r="A46" s="78" t="s">
        <v>783</v>
      </c>
      <c r="B46" s="79" t="s">
        <v>22</v>
      </c>
      <c r="C46" s="79" t="s">
        <v>31</v>
      </c>
      <c r="D46" s="79" t="s">
        <v>36</v>
      </c>
      <c r="E46" s="79" t="s">
        <v>366</v>
      </c>
      <c r="F46" s="79" t="s">
        <v>9</v>
      </c>
      <c r="G46" s="316">
        <f>G47+G59+G80+G56+G82+G85+G88+G66</f>
        <v>180052.22700000001</v>
      </c>
      <c r="H46" s="316">
        <f t="shared" ref="H46:T46" si="17">H47+H59+H80+H56+H82+H85+H88+H66</f>
        <v>69736.672999999995</v>
      </c>
      <c r="I46" s="338">
        <f t="shared" si="17"/>
        <v>179947.027</v>
      </c>
      <c r="J46" s="338">
        <f t="shared" si="17"/>
        <v>70426.672999999995</v>
      </c>
      <c r="K46" s="408">
        <f t="shared" si="17"/>
        <v>0</v>
      </c>
      <c r="L46" s="408">
        <f t="shared" si="17"/>
        <v>0</v>
      </c>
      <c r="M46" s="322">
        <f t="shared" si="17"/>
        <v>0</v>
      </c>
      <c r="N46" s="322">
        <f t="shared" si="17"/>
        <v>0</v>
      </c>
      <c r="O46" s="312">
        <f t="shared" si="17"/>
        <v>0</v>
      </c>
      <c r="P46" s="312">
        <f t="shared" si="17"/>
        <v>0</v>
      </c>
      <c r="Q46" s="322">
        <f t="shared" si="17"/>
        <v>0</v>
      </c>
      <c r="R46" s="322">
        <f t="shared" si="17"/>
        <v>0</v>
      </c>
      <c r="S46" s="312">
        <f t="shared" si="17"/>
        <v>0</v>
      </c>
      <c r="T46" s="312">
        <f t="shared" si="17"/>
        <v>0</v>
      </c>
      <c r="U46" s="132">
        <f t="shared" si="2"/>
        <v>249788.90000000002</v>
      </c>
      <c r="V46" s="132">
        <f t="shared" si="3"/>
        <v>250373.7</v>
      </c>
    </row>
    <row r="47" spans="1:22" s="80" customFormat="1" ht="31.5" x14ac:dyDescent="0.25">
      <c r="A47" s="78" t="s">
        <v>566</v>
      </c>
      <c r="B47" s="79" t="s">
        <v>22</v>
      </c>
      <c r="C47" s="79" t="s">
        <v>31</v>
      </c>
      <c r="D47" s="79" t="s">
        <v>36</v>
      </c>
      <c r="E47" s="79" t="s">
        <v>375</v>
      </c>
      <c r="F47" s="79" t="s">
        <v>9</v>
      </c>
      <c r="G47" s="316">
        <f t="shared" ref="G47:O47" si="18">G48+G52</f>
        <v>0</v>
      </c>
      <c r="H47" s="316">
        <f>H48+H52</f>
        <v>69736.672999999995</v>
      </c>
      <c r="I47" s="338">
        <f t="shared" si="18"/>
        <v>0</v>
      </c>
      <c r="J47" s="338">
        <f>J48+J52</f>
        <v>70426.672999999995</v>
      </c>
      <c r="K47" s="408">
        <f t="shared" si="18"/>
        <v>0.7</v>
      </c>
      <c r="L47" s="408">
        <f t="shared" si="18"/>
        <v>0.5</v>
      </c>
      <c r="M47" s="322">
        <f t="shared" si="18"/>
        <v>0</v>
      </c>
      <c r="N47" s="322">
        <f t="shared" si="18"/>
        <v>0</v>
      </c>
      <c r="O47" s="312">
        <f t="shared" si="18"/>
        <v>0</v>
      </c>
      <c r="P47" s="312">
        <f>P48+P52</f>
        <v>0</v>
      </c>
      <c r="Q47" s="322">
        <f>Q48+Q52</f>
        <v>0</v>
      </c>
      <c r="R47" s="322">
        <f>R48+R52</f>
        <v>0</v>
      </c>
      <c r="S47" s="312">
        <f>S48+S52</f>
        <v>0</v>
      </c>
      <c r="T47" s="312">
        <f>T48+T52</f>
        <v>0</v>
      </c>
      <c r="U47" s="132">
        <f t="shared" si="2"/>
        <v>69737.372999999992</v>
      </c>
      <c r="V47" s="132">
        <f t="shared" si="3"/>
        <v>70427.172999999995</v>
      </c>
    </row>
    <row r="48" spans="1:22" s="80" customFormat="1" x14ac:dyDescent="0.25">
      <c r="A48" s="78" t="s">
        <v>37</v>
      </c>
      <c r="B48" s="79" t="s">
        <v>22</v>
      </c>
      <c r="C48" s="79" t="s">
        <v>31</v>
      </c>
      <c r="D48" s="79" t="s">
        <v>36</v>
      </c>
      <c r="E48" s="79" t="s">
        <v>374</v>
      </c>
      <c r="F48" s="79" t="s">
        <v>9</v>
      </c>
      <c r="G48" s="316">
        <f t="shared" ref="G48:O48" si="19">G49+G50+G51</f>
        <v>0</v>
      </c>
      <c r="H48" s="316">
        <f>H49+H50+H51</f>
        <v>27090.672999999999</v>
      </c>
      <c r="I48" s="338">
        <f t="shared" si="19"/>
        <v>0</v>
      </c>
      <c r="J48" s="338">
        <f>J49+J50+J51</f>
        <v>26236.672999999999</v>
      </c>
      <c r="K48" s="408">
        <f t="shared" si="19"/>
        <v>0.7</v>
      </c>
      <c r="L48" s="408">
        <f t="shared" si="19"/>
        <v>0.5</v>
      </c>
      <c r="M48" s="322">
        <f t="shared" si="19"/>
        <v>0</v>
      </c>
      <c r="N48" s="322">
        <f t="shared" si="19"/>
        <v>0</v>
      </c>
      <c r="O48" s="312">
        <f t="shared" si="19"/>
        <v>0</v>
      </c>
      <c r="P48" s="312">
        <f>P49+P50+P51</f>
        <v>0</v>
      </c>
      <c r="Q48" s="322">
        <f>Q49+Q50+Q51</f>
        <v>0</v>
      </c>
      <c r="R48" s="322">
        <f>R49+R50+R51</f>
        <v>0</v>
      </c>
      <c r="S48" s="312">
        <f>S49+S50+S51</f>
        <v>0</v>
      </c>
      <c r="T48" s="312">
        <f>T49+T50+T51</f>
        <v>0</v>
      </c>
      <c r="U48" s="132">
        <f t="shared" si="2"/>
        <v>27091.373</v>
      </c>
      <c r="V48" s="132">
        <f t="shared" si="3"/>
        <v>26237.172999999999</v>
      </c>
    </row>
    <row r="49" spans="1:22" s="77" customFormat="1" ht="63" customHeight="1" outlineLevel="1" x14ac:dyDescent="0.25">
      <c r="A49" s="74" t="s">
        <v>115</v>
      </c>
      <c r="B49" s="75" t="s">
        <v>22</v>
      </c>
      <c r="C49" s="75" t="s">
        <v>31</v>
      </c>
      <c r="D49" s="75" t="s">
        <v>36</v>
      </c>
      <c r="E49" s="75" t="s">
        <v>374</v>
      </c>
      <c r="F49" s="75" t="s">
        <v>113</v>
      </c>
      <c r="G49" s="311"/>
      <c r="H49" s="311">
        <f>12730-10000</f>
        <v>2730</v>
      </c>
      <c r="I49" s="320"/>
      <c r="J49" s="320">
        <f>12730-10000</f>
        <v>2730</v>
      </c>
      <c r="K49" s="409"/>
      <c r="L49" s="409"/>
      <c r="M49" s="323"/>
      <c r="N49" s="323"/>
      <c r="O49" s="313"/>
      <c r="P49" s="313"/>
      <c r="Q49" s="323"/>
      <c r="R49" s="323"/>
      <c r="S49" s="313"/>
      <c r="T49" s="313"/>
      <c r="U49" s="131">
        <f t="shared" si="2"/>
        <v>2730</v>
      </c>
      <c r="V49" s="131">
        <f t="shared" si="3"/>
        <v>2730</v>
      </c>
    </row>
    <row r="50" spans="1:22" s="77" customFormat="1" ht="31.5" x14ac:dyDescent="0.25">
      <c r="A50" s="264" t="s">
        <v>124</v>
      </c>
      <c r="B50" s="265" t="s">
        <v>22</v>
      </c>
      <c r="C50" s="265" t="s">
        <v>31</v>
      </c>
      <c r="D50" s="265" t="s">
        <v>36</v>
      </c>
      <c r="E50" s="265" t="s">
        <v>374</v>
      </c>
      <c r="F50" s="265" t="s">
        <v>117</v>
      </c>
      <c r="G50" s="311"/>
      <c r="H50" s="359">
        <f>10380+52343.1-25000-6746-7500-18.827</f>
        <v>23458.272999999997</v>
      </c>
      <c r="I50" s="320"/>
      <c r="J50" s="359">
        <f>10570+52343.1-25000-8290-7000-18.827</f>
        <v>22604.272999999997</v>
      </c>
      <c r="K50" s="409">
        <v>0.7</v>
      </c>
      <c r="L50" s="407">
        <v>0.5</v>
      </c>
      <c r="M50" s="323"/>
      <c r="N50" s="323"/>
      <c r="O50" s="313"/>
      <c r="P50" s="313"/>
      <c r="Q50" s="323"/>
      <c r="R50" s="323"/>
      <c r="S50" s="313"/>
      <c r="T50" s="313"/>
      <c r="U50" s="131">
        <f t="shared" si="2"/>
        <v>23458.972999999998</v>
      </c>
      <c r="V50" s="131">
        <f t="shared" si="3"/>
        <v>22604.772999999997</v>
      </c>
    </row>
    <row r="51" spans="1:22" s="77" customFormat="1" x14ac:dyDescent="0.25">
      <c r="A51" s="74" t="s">
        <v>116</v>
      </c>
      <c r="B51" s="75" t="s">
        <v>22</v>
      </c>
      <c r="C51" s="75" t="s">
        <v>31</v>
      </c>
      <c r="D51" s="75" t="s">
        <v>36</v>
      </c>
      <c r="E51" s="75" t="s">
        <v>374</v>
      </c>
      <c r="F51" s="75" t="s">
        <v>114</v>
      </c>
      <c r="G51" s="311"/>
      <c r="H51" s="311">
        <f>1802.4-900</f>
        <v>902.40000000000009</v>
      </c>
      <c r="I51" s="320"/>
      <c r="J51" s="320">
        <f>1802.4-900</f>
        <v>902.40000000000009</v>
      </c>
      <c r="K51" s="409"/>
      <c r="L51" s="409"/>
      <c r="M51" s="323"/>
      <c r="N51" s="323"/>
      <c r="O51" s="313"/>
      <c r="P51" s="313"/>
      <c r="Q51" s="323"/>
      <c r="R51" s="323"/>
      <c r="S51" s="313"/>
      <c r="T51" s="313"/>
      <c r="U51" s="131">
        <f t="shared" si="2"/>
        <v>902.40000000000009</v>
      </c>
      <c r="V51" s="131">
        <f t="shared" si="3"/>
        <v>902.40000000000009</v>
      </c>
    </row>
    <row r="52" spans="1:22" s="80" customFormat="1" x14ac:dyDescent="0.25">
      <c r="A52" s="78" t="s">
        <v>37</v>
      </c>
      <c r="B52" s="79" t="s">
        <v>22</v>
      </c>
      <c r="C52" s="79" t="s">
        <v>31</v>
      </c>
      <c r="D52" s="79" t="s">
        <v>36</v>
      </c>
      <c r="E52" s="79" t="s">
        <v>507</v>
      </c>
      <c r="F52" s="79" t="s">
        <v>9</v>
      </c>
      <c r="G52" s="316">
        <f t="shared" ref="G52:T52" si="20">G53+G54+G55</f>
        <v>0</v>
      </c>
      <c r="H52" s="316">
        <f t="shared" si="20"/>
        <v>42646</v>
      </c>
      <c r="I52" s="338">
        <f t="shared" si="20"/>
        <v>0</v>
      </c>
      <c r="J52" s="338">
        <f t="shared" si="20"/>
        <v>44190</v>
      </c>
      <c r="K52" s="408">
        <f t="shared" si="20"/>
        <v>0</v>
      </c>
      <c r="L52" s="408">
        <f t="shared" si="20"/>
        <v>0</v>
      </c>
      <c r="M52" s="322">
        <f t="shared" si="20"/>
        <v>0</v>
      </c>
      <c r="N52" s="322">
        <f t="shared" si="20"/>
        <v>0</v>
      </c>
      <c r="O52" s="312">
        <f t="shared" si="20"/>
        <v>0</v>
      </c>
      <c r="P52" s="312">
        <f t="shared" si="20"/>
        <v>0</v>
      </c>
      <c r="Q52" s="322">
        <f t="shared" si="20"/>
        <v>0</v>
      </c>
      <c r="R52" s="322">
        <f t="shared" si="20"/>
        <v>0</v>
      </c>
      <c r="S52" s="312">
        <f t="shared" si="20"/>
        <v>0</v>
      </c>
      <c r="T52" s="312">
        <f t="shared" si="20"/>
        <v>0</v>
      </c>
      <c r="U52" s="132">
        <f t="shared" si="2"/>
        <v>42646</v>
      </c>
      <c r="V52" s="132">
        <f t="shared" si="3"/>
        <v>44190</v>
      </c>
    </row>
    <row r="53" spans="1:22" s="77" customFormat="1" ht="63" x14ac:dyDescent="0.25">
      <c r="A53" s="74" t="s">
        <v>115</v>
      </c>
      <c r="B53" s="75" t="s">
        <v>22</v>
      </c>
      <c r="C53" s="75" t="s">
        <v>31</v>
      </c>
      <c r="D53" s="75" t="s">
        <v>36</v>
      </c>
      <c r="E53" s="75" t="s">
        <v>507</v>
      </c>
      <c r="F53" s="75" t="s">
        <v>113</v>
      </c>
      <c r="G53" s="311"/>
      <c r="H53" s="311">
        <v>10000</v>
      </c>
      <c r="I53" s="320"/>
      <c r="J53" s="320">
        <v>10000</v>
      </c>
      <c r="K53" s="409"/>
      <c r="L53" s="407"/>
      <c r="M53" s="323"/>
      <c r="N53" s="323"/>
      <c r="O53" s="313"/>
      <c r="P53" s="313"/>
      <c r="Q53" s="323"/>
      <c r="R53" s="323"/>
      <c r="S53" s="313"/>
      <c r="T53" s="313"/>
      <c r="U53" s="131">
        <f t="shared" si="2"/>
        <v>10000</v>
      </c>
      <c r="V53" s="131">
        <f t="shared" si="3"/>
        <v>10000</v>
      </c>
    </row>
    <row r="54" spans="1:22" s="77" customFormat="1" ht="31.5" x14ac:dyDescent="0.25">
      <c r="A54" s="74" t="s">
        <v>124</v>
      </c>
      <c r="B54" s="75" t="s">
        <v>22</v>
      </c>
      <c r="C54" s="75" t="s">
        <v>31</v>
      </c>
      <c r="D54" s="75" t="s">
        <v>36</v>
      </c>
      <c r="E54" s="75" t="s">
        <v>507</v>
      </c>
      <c r="F54" s="75" t="s">
        <v>117</v>
      </c>
      <c r="G54" s="311"/>
      <c r="H54" s="311">
        <f>25000+6746</f>
        <v>31746</v>
      </c>
      <c r="I54" s="320"/>
      <c r="J54" s="320">
        <f>25000+8290</f>
        <v>33290</v>
      </c>
      <c r="K54" s="409"/>
      <c r="L54" s="409"/>
      <c r="M54" s="323"/>
      <c r="N54" s="323"/>
      <c r="O54" s="313"/>
      <c r="P54" s="313"/>
      <c r="Q54" s="323"/>
      <c r="R54" s="323"/>
      <c r="S54" s="313"/>
      <c r="T54" s="313"/>
      <c r="U54" s="131">
        <f t="shared" si="2"/>
        <v>31746</v>
      </c>
      <c r="V54" s="131">
        <f t="shared" si="3"/>
        <v>33290</v>
      </c>
    </row>
    <row r="55" spans="1:22" s="77" customFormat="1" x14ac:dyDescent="0.25">
      <c r="A55" s="74" t="s">
        <v>116</v>
      </c>
      <c r="B55" s="75" t="s">
        <v>22</v>
      </c>
      <c r="C55" s="75" t="s">
        <v>31</v>
      </c>
      <c r="D55" s="75" t="s">
        <v>36</v>
      </c>
      <c r="E55" s="75" t="s">
        <v>507</v>
      </c>
      <c r="F55" s="75" t="s">
        <v>114</v>
      </c>
      <c r="G55" s="311"/>
      <c r="H55" s="311">
        <v>900</v>
      </c>
      <c r="I55" s="320"/>
      <c r="J55" s="320">
        <v>900</v>
      </c>
      <c r="K55" s="409"/>
      <c r="L55" s="409"/>
      <c r="M55" s="323"/>
      <c r="N55" s="323"/>
      <c r="O55" s="313"/>
      <c r="P55" s="313"/>
      <c r="Q55" s="323"/>
      <c r="R55" s="323"/>
      <c r="S55" s="313"/>
      <c r="T55" s="313"/>
      <c r="U55" s="131">
        <f t="shared" si="2"/>
        <v>900</v>
      </c>
      <c r="V55" s="131">
        <f t="shared" si="3"/>
        <v>900</v>
      </c>
    </row>
    <row r="56" spans="1:22" s="80" customFormat="1" ht="47.25" customHeight="1" outlineLevel="1" x14ac:dyDescent="0.25">
      <c r="A56" s="78" t="s">
        <v>41</v>
      </c>
      <c r="B56" s="79" t="s">
        <v>22</v>
      </c>
      <c r="C56" s="79" t="s">
        <v>31</v>
      </c>
      <c r="D56" s="79" t="s">
        <v>36</v>
      </c>
      <c r="E56" s="79" t="s">
        <v>383</v>
      </c>
      <c r="F56" s="79" t="s">
        <v>9</v>
      </c>
      <c r="G56" s="316">
        <f t="shared" ref="G56:T57" si="21">G57</f>
        <v>0</v>
      </c>
      <c r="H56" s="316">
        <f t="shared" si="21"/>
        <v>0</v>
      </c>
      <c r="I56" s="338">
        <f t="shared" si="21"/>
        <v>0</v>
      </c>
      <c r="J56" s="338">
        <f t="shared" si="21"/>
        <v>0</v>
      </c>
      <c r="K56" s="408">
        <f t="shared" si="21"/>
        <v>0</v>
      </c>
      <c r="L56" s="408">
        <f t="shared" si="21"/>
        <v>0</v>
      </c>
      <c r="M56" s="322">
        <f t="shared" si="21"/>
        <v>0</v>
      </c>
      <c r="N56" s="322">
        <f t="shared" si="21"/>
        <v>0</v>
      </c>
      <c r="O56" s="312">
        <f t="shared" si="21"/>
        <v>0</v>
      </c>
      <c r="P56" s="312">
        <f t="shared" si="21"/>
        <v>0</v>
      </c>
      <c r="Q56" s="322">
        <f t="shared" si="21"/>
        <v>0</v>
      </c>
      <c r="R56" s="322">
        <f t="shared" si="21"/>
        <v>0</v>
      </c>
      <c r="S56" s="312">
        <f t="shared" si="21"/>
        <v>0</v>
      </c>
      <c r="T56" s="312">
        <f t="shared" si="21"/>
        <v>0</v>
      </c>
      <c r="U56" s="132">
        <f t="shared" si="2"/>
        <v>0</v>
      </c>
      <c r="V56" s="132">
        <f t="shared" si="3"/>
        <v>0</v>
      </c>
    </row>
    <row r="57" spans="1:22" s="80" customFormat="1" ht="63" customHeight="1" outlineLevel="1" x14ac:dyDescent="0.25">
      <c r="A57" s="78" t="s">
        <v>808</v>
      </c>
      <c r="B57" s="79" t="s">
        <v>22</v>
      </c>
      <c r="C57" s="79" t="s">
        <v>31</v>
      </c>
      <c r="D57" s="79" t="s">
        <v>36</v>
      </c>
      <c r="E57" s="79" t="s">
        <v>807</v>
      </c>
      <c r="F57" s="79" t="s">
        <v>9</v>
      </c>
      <c r="G57" s="316">
        <f t="shared" si="21"/>
        <v>0</v>
      </c>
      <c r="H57" s="316">
        <f t="shared" si="21"/>
        <v>0</v>
      </c>
      <c r="I57" s="338">
        <f t="shared" si="21"/>
        <v>0</v>
      </c>
      <c r="J57" s="338">
        <f t="shared" si="21"/>
        <v>0</v>
      </c>
      <c r="K57" s="408">
        <f t="shared" si="21"/>
        <v>0</v>
      </c>
      <c r="L57" s="408">
        <f t="shared" si="21"/>
        <v>0</v>
      </c>
      <c r="M57" s="322">
        <f t="shared" si="21"/>
        <v>0</v>
      </c>
      <c r="N57" s="322">
        <f t="shared" si="21"/>
        <v>0</v>
      </c>
      <c r="O57" s="312">
        <f t="shared" si="21"/>
        <v>0</v>
      </c>
      <c r="P57" s="312">
        <f t="shared" si="21"/>
        <v>0</v>
      </c>
      <c r="Q57" s="322">
        <f t="shared" si="21"/>
        <v>0</v>
      </c>
      <c r="R57" s="322">
        <f t="shared" si="21"/>
        <v>0</v>
      </c>
      <c r="S57" s="312">
        <f t="shared" si="21"/>
        <v>0</v>
      </c>
      <c r="T57" s="312">
        <f t="shared" si="21"/>
        <v>0</v>
      </c>
      <c r="U57" s="132">
        <f t="shared" si="2"/>
        <v>0</v>
      </c>
      <c r="V57" s="132">
        <f t="shared" si="3"/>
        <v>0</v>
      </c>
    </row>
    <row r="58" spans="1:22" s="77" customFormat="1" ht="31.5" customHeight="1" outlineLevel="1" x14ac:dyDescent="0.25">
      <c r="A58" s="264" t="s">
        <v>124</v>
      </c>
      <c r="B58" s="265" t="s">
        <v>22</v>
      </c>
      <c r="C58" s="265" t="s">
        <v>31</v>
      </c>
      <c r="D58" s="265" t="s">
        <v>36</v>
      </c>
      <c r="E58" s="265" t="s">
        <v>807</v>
      </c>
      <c r="F58" s="265" t="s">
        <v>117</v>
      </c>
      <c r="G58" s="311"/>
      <c r="H58" s="311"/>
      <c r="I58" s="320"/>
      <c r="J58" s="320"/>
      <c r="K58" s="409"/>
      <c r="L58" s="407"/>
      <c r="M58" s="323"/>
      <c r="N58" s="323"/>
      <c r="O58" s="313"/>
      <c r="P58" s="313"/>
      <c r="Q58" s="323"/>
      <c r="R58" s="323"/>
      <c r="S58" s="313"/>
      <c r="T58" s="313"/>
      <c r="U58" s="131">
        <f t="shared" si="2"/>
        <v>0</v>
      </c>
      <c r="V58" s="131">
        <f t="shared" si="3"/>
        <v>0</v>
      </c>
    </row>
    <row r="59" spans="1:22" s="80" customFormat="1" x14ac:dyDescent="0.25">
      <c r="A59" s="78" t="s">
        <v>39</v>
      </c>
      <c r="B59" s="79" t="s">
        <v>22</v>
      </c>
      <c r="C59" s="79" t="s">
        <v>31</v>
      </c>
      <c r="D59" s="79" t="s">
        <v>36</v>
      </c>
      <c r="E59" s="79" t="s">
        <v>372</v>
      </c>
      <c r="F59" s="79" t="s">
        <v>9</v>
      </c>
      <c r="G59" s="316">
        <f t="shared" ref="G59:O59" si="22">G60+G64</f>
        <v>153941</v>
      </c>
      <c r="H59" s="316">
        <f>H60+H64</f>
        <v>0</v>
      </c>
      <c r="I59" s="338">
        <f t="shared" si="22"/>
        <v>153941</v>
      </c>
      <c r="J59" s="338">
        <f>J60+J64</f>
        <v>0</v>
      </c>
      <c r="K59" s="408">
        <f t="shared" si="22"/>
        <v>0</v>
      </c>
      <c r="L59" s="408">
        <f t="shared" si="22"/>
        <v>0</v>
      </c>
      <c r="M59" s="322">
        <f t="shared" si="22"/>
        <v>0</v>
      </c>
      <c r="N59" s="322">
        <f t="shared" si="22"/>
        <v>0</v>
      </c>
      <c r="O59" s="312">
        <f t="shared" si="22"/>
        <v>0</v>
      </c>
      <c r="P59" s="312">
        <f>P60+P64</f>
        <v>0</v>
      </c>
      <c r="Q59" s="322">
        <f>Q60+Q64</f>
        <v>0</v>
      </c>
      <c r="R59" s="322">
        <f>R60+R64</f>
        <v>0</v>
      </c>
      <c r="S59" s="312">
        <f>S60+S64</f>
        <v>0</v>
      </c>
      <c r="T59" s="312">
        <f>T60+T64</f>
        <v>0</v>
      </c>
      <c r="U59" s="132">
        <f t="shared" si="2"/>
        <v>153941</v>
      </c>
      <c r="V59" s="132">
        <f t="shared" si="3"/>
        <v>153941</v>
      </c>
    </row>
    <row r="60" spans="1:22" s="80" customFormat="1" ht="63" x14ac:dyDescent="0.25">
      <c r="A60" s="78" t="s">
        <v>206</v>
      </c>
      <c r="B60" s="79" t="s">
        <v>22</v>
      </c>
      <c r="C60" s="79" t="s">
        <v>31</v>
      </c>
      <c r="D60" s="79" t="s">
        <v>36</v>
      </c>
      <c r="E60" s="79" t="s">
        <v>379</v>
      </c>
      <c r="F60" s="79" t="s">
        <v>9</v>
      </c>
      <c r="G60" s="316">
        <f t="shared" ref="G60:O60" si="23">G61+G62+G63</f>
        <v>153941</v>
      </c>
      <c r="H60" s="316">
        <f>H61+H62+H63</f>
        <v>0</v>
      </c>
      <c r="I60" s="338">
        <f t="shared" si="23"/>
        <v>153941</v>
      </c>
      <c r="J60" s="338">
        <f>J61+J62+J63</f>
        <v>0</v>
      </c>
      <c r="K60" s="408">
        <f t="shared" si="23"/>
        <v>0</v>
      </c>
      <c r="L60" s="408">
        <f t="shared" si="23"/>
        <v>0</v>
      </c>
      <c r="M60" s="322">
        <f t="shared" si="23"/>
        <v>0</v>
      </c>
      <c r="N60" s="322">
        <f t="shared" si="23"/>
        <v>0</v>
      </c>
      <c r="O60" s="312">
        <f t="shared" si="23"/>
        <v>0</v>
      </c>
      <c r="P60" s="312">
        <f>P61+P62+P63</f>
        <v>0</v>
      </c>
      <c r="Q60" s="322">
        <f>Q61+Q62+Q63</f>
        <v>0</v>
      </c>
      <c r="R60" s="322">
        <f>R61+R62+R63</f>
        <v>0</v>
      </c>
      <c r="S60" s="312">
        <f>S61+S62+S63</f>
        <v>0</v>
      </c>
      <c r="T60" s="312">
        <f>T61+T62+T63</f>
        <v>0</v>
      </c>
      <c r="U60" s="132">
        <f t="shared" si="2"/>
        <v>153941</v>
      </c>
      <c r="V60" s="132">
        <f t="shared" si="3"/>
        <v>153941</v>
      </c>
    </row>
    <row r="61" spans="1:22" s="77" customFormat="1" ht="63" x14ac:dyDescent="0.25">
      <c r="A61" s="74" t="s">
        <v>115</v>
      </c>
      <c r="B61" s="75" t="s">
        <v>22</v>
      </c>
      <c r="C61" s="75" t="s">
        <v>31</v>
      </c>
      <c r="D61" s="75" t="s">
        <v>36</v>
      </c>
      <c r="E61" s="75" t="s">
        <v>379</v>
      </c>
      <c r="F61" s="75" t="s">
        <v>113</v>
      </c>
      <c r="G61" s="311">
        <v>151716</v>
      </c>
      <c r="H61" s="311"/>
      <c r="I61" s="320">
        <v>151716</v>
      </c>
      <c r="J61" s="320"/>
      <c r="K61" s="409"/>
      <c r="L61" s="409"/>
      <c r="M61" s="323"/>
      <c r="N61" s="323"/>
      <c r="O61" s="313"/>
      <c r="P61" s="313"/>
      <c r="Q61" s="323"/>
      <c r="R61" s="323"/>
      <c r="S61" s="313"/>
      <c r="T61" s="313"/>
      <c r="U61" s="131">
        <f t="shared" si="2"/>
        <v>151716</v>
      </c>
      <c r="V61" s="131">
        <f t="shared" si="3"/>
        <v>151716</v>
      </c>
    </row>
    <row r="62" spans="1:22" s="77" customFormat="1" ht="31.5" x14ac:dyDescent="0.25">
      <c r="A62" s="74" t="s">
        <v>124</v>
      </c>
      <c r="B62" s="75" t="s">
        <v>22</v>
      </c>
      <c r="C62" s="75" t="s">
        <v>31</v>
      </c>
      <c r="D62" s="75" t="s">
        <v>36</v>
      </c>
      <c r="E62" s="75" t="s">
        <v>379</v>
      </c>
      <c r="F62" s="75" t="s">
        <v>117</v>
      </c>
      <c r="G62" s="311">
        <v>2225</v>
      </c>
      <c r="H62" s="311"/>
      <c r="I62" s="320">
        <v>2225</v>
      </c>
      <c r="J62" s="320"/>
      <c r="K62" s="409"/>
      <c r="L62" s="409"/>
      <c r="M62" s="323"/>
      <c r="N62" s="323"/>
      <c r="O62" s="313"/>
      <c r="P62" s="313"/>
      <c r="Q62" s="323"/>
      <c r="R62" s="323"/>
      <c r="S62" s="313"/>
      <c r="T62" s="313"/>
      <c r="U62" s="131">
        <f t="shared" si="2"/>
        <v>2225</v>
      </c>
      <c r="V62" s="131">
        <f t="shared" si="3"/>
        <v>2225</v>
      </c>
    </row>
    <row r="63" spans="1:22" s="77" customFormat="1" ht="15.75" customHeight="1" outlineLevel="1" x14ac:dyDescent="0.25">
      <c r="A63" s="74" t="s">
        <v>125</v>
      </c>
      <c r="B63" s="75" t="s">
        <v>22</v>
      </c>
      <c r="C63" s="75" t="s">
        <v>31</v>
      </c>
      <c r="D63" s="75" t="s">
        <v>36</v>
      </c>
      <c r="E63" s="75" t="s">
        <v>379</v>
      </c>
      <c r="F63" s="75" t="s">
        <v>118</v>
      </c>
      <c r="G63" s="311"/>
      <c r="H63" s="311"/>
      <c r="I63" s="320"/>
      <c r="J63" s="320"/>
      <c r="K63" s="409"/>
      <c r="L63" s="409"/>
      <c r="M63" s="323"/>
      <c r="N63" s="323"/>
      <c r="O63" s="313"/>
      <c r="P63" s="313"/>
      <c r="Q63" s="323"/>
      <c r="R63" s="323"/>
      <c r="S63" s="313"/>
      <c r="T63" s="313"/>
      <c r="U63" s="131">
        <f t="shared" si="2"/>
        <v>0</v>
      </c>
      <c r="V63" s="131">
        <f t="shared" si="3"/>
        <v>0</v>
      </c>
    </row>
    <row r="64" spans="1:22" s="80" customFormat="1" ht="31.5" customHeight="1" outlineLevel="1" x14ac:dyDescent="0.25">
      <c r="A64" s="78" t="s">
        <v>653</v>
      </c>
      <c r="B64" s="79" t="s">
        <v>22</v>
      </c>
      <c r="C64" s="79" t="s">
        <v>31</v>
      </c>
      <c r="D64" s="79" t="s">
        <v>36</v>
      </c>
      <c r="E64" s="79" t="s">
        <v>652</v>
      </c>
      <c r="F64" s="79" t="s">
        <v>9</v>
      </c>
      <c r="G64" s="316">
        <f t="shared" ref="G64:T64" si="24">G65</f>
        <v>0</v>
      </c>
      <c r="H64" s="316">
        <f t="shared" si="24"/>
        <v>0</v>
      </c>
      <c r="I64" s="338">
        <f t="shared" si="24"/>
        <v>0</v>
      </c>
      <c r="J64" s="338">
        <f t="shared" si="24"/>
        <v>0</v>
      </c>
      <c r="K64" s="408">
        <f t="shared" si="24"/>
        <v>0</v>
      </c>
      <c r="L64" s="408">
        <f t="shared" si="24"/>
        <v>0</v>
      </c>
      <c r="M64" s="322">
        <f t="shared" si="24"/>
        <v>0</v>
      </c>
      <c r="N64" s="322">
        <f t="shared" si="24"/>
        <v>0</v>
      </c>
      <c r="O64" s="312">
        <f t="shared" si="24"/>
        <v>0</v>
      </c>
      <c r="P64" s="312">
        <f t="shared" si="24"/>
        <v>0</v>
      </c>
      <c r="Q64" s="322">
        <f t="shared" si="24"/>
        <v>0</v>
      </c>
      <c r="R64" s="322">
        <f t="shared" si="24"/>
        <v>0</v>
      </c>
      <c r="S64" s="312">
        <f t="shared" si="24"/>
        <v>0</v>
      </c>
      <c r="T64" s="312">
        <f t="shared" si="24"/>
        <v>0</v>
      </c>
      <c r="U64" s="132">
        <f t="shared" si="2"/>
        <v>0</v>
      </c>
      <c r="V64" s="132">
        <f t="shared" si="3"/>
        <v>0</v>
      </c>
    </row>
    <row r="65" spans="1:22" s="77" customFormat="1" ht="63" customHeight="1" outlineLevel="1" x14ac:dyDescent="0.25">
      <c r="A65" s="74" t="s">
        <v>115</v>
      </c>
      <c r="B65" s="75" t="s">
        <v>22</v>
      </c>
      <c r="C65" s="75" t="s">
        <v>31</v>
      </c>
      <c r="D65" s="75" t="s">
        <v>36</v>
      </c>
      <c r="E65" s="75" t="s">
        <v>652</v>
      </c>
      <c r="F65" s="75" t="s">
        <v>113</v>
      </c>
      <c r="G65" s="311"/>
      <c r="H65" s="311"/>
      <c r="I65" s="320"/>
      <c r="J65" s="320"/>
      <c r="K65" s="409"/>
      <c r="L65" s="409"/>
      <c r="M65" s="323"/>
      <c r="N65" s="323"/>
      <c r="O65" s="313"/>
      <c r="P65" s="313"/>
      <c r="Q65" s="323"/>
      <c r="R65" s="323"/>
      <c r="S65" s="313"/>
      <c r="T65" s="313"/>
      <c r="U65" s="131">
        <f t="shared" si="2"/>
        <v>0</v>
      </c>
      <c r="V65" s="131">
        <f t="shared" si="3"/>
        <v>0</v>
      </c>
    </row>
    <row r="66" spans="1:22" s="80" customFormat="1" x14ac:dyDescent="0.25">
      <c r="A66" s="78" t="s">
        <v>805</v>
      </c>
      <c r="B66" s="79" t="s">
        <v>22</v>
      </c>
      <c r="C66" s="79" t="s">
        <v>31</v>
      </c>
      <c r="D66" s="79" t="s">
        <v>36</v>
      </c>
      <c r="E66" s="79" t="s">
        <v>802</v>
      </c>
      <c r="F66" s="79" t="s">
        <v>9</v>
      </c>
      <c r="G66" s="316">
        <f>G72+G67+G77</f>
        <v>2185.7269999999999</v>
      </c>
      <c r="H66" s="316">
        <f t="shared" ref="H66:T66" si="25">H72+H67+H77</f>
        <v>0</v>
      </c>
      <c r="I66" s="316">
        <f t="shared" si="25"/>
        <v>1882.627</v>
      </c>
      <c r="J66" s="316">
        <f t="shared" si="25"/>
        <v>0</v>
      </c>
      <c r="K66" s="408">
        <f t="shared" si="25"/>
        <v>0</v>
      </c>
      <c r="L66" s="408">
        <f t="shared" si="25"/>
        <v>0</v>
      </c>
      <c r="M66" s="316">
        <f t="shared" si="25"/>
        <v>0</v>
      </c>
      <c r="N66" s="316">
        <f t="shared" si="25"/>
        <v>0</v>
      </c>
      <c r="O66" s="316">
        <f t="shared" si="25"/>
        <v>0</v>
      </c>
      <c r="P66" s="316">
        <f t="shared" si="25"/>
        <v>0</v>
      </c>
      <c r="Q66" s="316">
        <f t="shared" si="25"/>
        <v>0</v>
      </c>
      <c r="R66" s="316">
        <f t="shared" si="25"/>
        <v>0</v>
      </c>
      <c r="S66" s="316">
        <f t="shared" si="25"/>
        <v>0</v>
      </c>
      <c r="T66" s="316">
        <f t="shared" si="25"/>
        <v>0</v>
      </c>
      <c r="U66" s="132">
        <f t="shared" si="2"/>
        <v>2185.7269999999999</v>
      </c>
      <c r="V66" s="132">
        <f t="shared" si="3"/>
        <v>1882.627</v>
      </c>
    </row>
    <row r="67" spans="1:22" s="80" customFormat="1" ht="15.75" customHeight="1" outlineLevel="1" x14ac:dyDescent="0.25">
      <c r="A67" s="78" t="s">
        <v>944</v>
      </c>
      <c r="B67" s="79" t="s">
        <v>22</v>
      </c>
      <c r="C67" s="79" t="s">
        <v>31</v>
      </c>
      <c r="D67" s="79" t="s">
        <v>36</v>
      </c>
      <c r="E67" s="79" t="s">
        <v>945</v>
      </c>
      <c r="F67" s="79" t="s">
        <v>9</v>
      </c>
      <c r="G67" s="316">
        <f t="shared" ref="G67:O67" si="26">G68+G70</f>
        <v>303.10000000000002</v>
      </c>
      <c r="H67" s="316">
        <f>H68+H70</f>
        <v>0</v>
      </c>
      <c r="I67" s="338">
        <f t="shared" si="26"/>
        <v>0</v>
      </c>
      <c r="J67" s="338">
        <f>J68+J70</f>
        <v>0</v>
      </c>
      <c r="K67" s="408">
        <f t="shared" si="26"/>
        <v>0</v>
      </c>
      <c r="L67" s="408">
        <f t="shared" si="26"/>
        <v>0</v>
      </c>
      <c r="M67" s="322">
        <f t="shared" si="26"/>
        <v>0</v>
      </c>
      <c r="N67" s="322">
        <f t="shared" si="26"/>
        <v>0</v>
      </c>
      <c r="O67" s="312">
        <f t="shared" si="26"/>
        <v>0</v>
      </c>
      <c r="P67" s="312">
        <f>P68+P70</f>
        <v>0</v>
      </c>
      <c r="Q67" s="322">
        <f>Q68+Q70</f>
        <v>0</v>
      </c>
      <c r="R67" s="322">
        <f>R68+R70</f>
        <v>0</v>
      </c>
      <c r="S67" s="312">
        <f>S68+S70</f>
        <v>0</v>
      </c>
      <c r="T67" s="312">
        <f>T68+T70</f>
        <v>0</v>
      </c>
      <c r="U67" s="132">
        <f t="shared" si="2"/>
        <v>303.10000000000002</v>
      </c>
      <c r="V67" s="132">
        <f t="shared" si="3"/>
        <v>0</v>
      </c>
    </row>
    <row r="68" spans="1:22" s="80" customFormat="1" ht="63" customHeight="1" outlineLevel="1" x14ac:dyDescent="0.25">
      <c r="A68" s="78" t="s">
        <v>946</v>
      </c>
      <c r="B68" s="79" t="s">
        <v>22</v>
      </c>
      <c r="C68" s="79" t="s">
        <v>31</v>
      </c>
      <c r="D68" s="79" t="s">
        <v>36</v>
      </c>
      <c r="E68" s="79" t="s">
        <v>947</v>
      </c>
      <c r="F68" s="79" t="s">
        <v>9</v>
      </c>
      <c r="G68" s="316">
        <f t="shared" ref="G68:T68" si="27">G69</f>
        <v>300</v>
      </c>
      <c r="H68" s="316">
        <f t="shared" si="27"/>
        <v>0</v>
      </c>
      <c r="I68" s="338">
        <f t="shared" si="27"/>
        <v>0</v>
      </c>
      <c r="J68" s="338">
        <f t="shared" si="27"/>
        <v>0</v>
      </c>
      <c r="K68" s="408">
        <f t="shared" si="27"/>
        <v>0</v>
      </c>
      <c r="L68" s="408">
        <f t="shared" si="27"/>
        <v>0</v>
      </c>
      <c r="M68" s="322">
        <f t="shared" si="27"/>
        <v>0</v>
      </c>
      <c r="N68" s="322">
        <f t="shared" si="27"/>
        <v>0</v>
      </c>
      <c r="O68" s="312">
        <f t="shared" si="27"/>
        <v>0</v>
      </c>
      <c r="P68" s="312">
        <f t="shared" si="27"/>
        <v>0</v>
      </c>
      <c r="Q68" s="322">
        <f t="shared" si="27"/>
        <v>0</v>
      </c>
      <c r="R68" s="322">
        <f t="shared" si="27"/>
        <v>0</v>
      </c>
      <c r="S68" s="312">
        <f t="shared" si="27"/>
        <v>0</v>
      </c>
      <c r="T68" s="312">
        <f t="shared" si="27"/>
        <v>0</v>
      </c>
      <c r="U68" s="132">
        <f t="shared" si="2"/>
        <v>300</v>
      </c>
      <c r="V68" s="132">
        <f t="shared" si="3"/>
        <v>0</v>
      </c>
    </row>
    <row r="69" spans="1:22" s="80" customFormat="1" ht="31.5" customHeight="1" outlineLevel="1" x14ac:dyDescent="0.25">
      <c r="A69" s="74" t="s">
        <v>124</v>
      </c>
      <c r="B69" s="75" t="s">
        <v>22</v>
      </c>
      <c r="C69" s="75" t="s">
        <v>31</v>
      </c>
      <c r="D69" s="75" t="s">
        <v>36</v>
      </c>
      <c r="E69" s="75" t="s">
        <v>947</v>
      </c>
      <c r="F69" s="75" t="s">
        <v>117</v>
      </c>
      <c r="G69" s="316">
        <v>300</v>
      </c>
      <c r="H69" s="316"/>
      <c r="I69" s="338"/>
      <c r="J69" s="338"/>
      <c r="K69" s="408"/>
      <c r="L69" s="407"/>
      <c r="M69" s="322"/>
      <c r="N69" s="322"/>
      <c r="O69" s="312"/>
      <c r="P69" s="312"/>
      <c r="Q69" s="322"/>
      <c r="R69" s="322"/>
      <c r="S69" s="312"/>
      <c r="T69" s="312"/>
      <c r="U69" s="131">
        <f t="shared" si="2"/>
        <v>300</v>
      </c>
      <c r="V69" s="131">
        <f t="shared" si="3"/>
        <v>0</v>
      </c>
    </row>
    <row r="70" spans="1:22" s="80" customFormat="1" ht="63" customHeight="1" outlineLevel="1" x14ac:dyDescent="0.25">
      <c r="A70" s="78" t="s">
        <v>946</v>
      </c>
      <c r="B70" s="79" t="s">
        <v>22</v>
      </c>
      <c r="C70" s="79" t="s">
        <v>31</v>
      </c>
      <c r="D70" s="79" t="s">
        <v>36</v>
      </c>
      <c r="E70" s="79" t="s">
        <v>948</v>
      </c>
      <c r="F70" s="79" t="s">
        <v>9</v>
      </c>
      <c r="G70" s="316">
        <f t="shared" ref="G70:T70" si="28">G71</f>
        <v>3.1</v>
      </c>
      <c r="H70" s="316">
        <f t="shared" si="28"/>
        <v>0</v>
      </c>
      <c r="I70" s="338">
        <f t="shared" si="28"/>
        <v>0</v>
      </c>
      <c r="J70" s="338">
        <f t="shared" si="28"/>
        <v>0</v>
      </c>
      <c r="K70" s="408">
        <f t="shared" si="28"/>
        <v>0</v>
      </c>
      <c r="L70" s="408">
        <f t="shared" si="28"/>
        <v>0</v>
      </c>
      <c r="M70" s="322">
        <f t="shared" si="28"/>
        <v>0</v>
      </c>
      <c r="N70" s="322">
        <f t="shared" si="28"/>
        <v>0</v>
      </c>
      <c r="O70" s="312">
        <f t="shared" si="28"/>
        <v>0</v>
      </c>
      <c r="P70" s="312">
        <f t="shared" si="28"/>
        <v>0</v>
      </c>
      <c r="Q70" s="322">
        <f t="shared" si="28"/>
        <v>0</v>
      </c>
      <c r="R70" s="322">
        <f t="shared" si="28"/>
        <v>0</v>
      </c>
      <c r="S70" s="312">
        <f t="shared" si="28"/>
        <v>0</v>
      </c>
      <c r="T70" s="312">
        <f t="shared" si="28"/>
        <v>0</v>
      </c>
      <c r="U70" s="132">
        <f t="shared" si="2"/>
        <v>3.1</v>
      </c>
      <c r="V70" s="132">
        <f t="shared" si="3"/>
        <v>0</v>
      </c>
    </row>
    <row r="71" spans="1:22" s="80" customFormat="1" ht="31.5" customHeight="1" outlineLevel="1" x14ac:dyDescent="0.25">
      <c r="A71" s="74" t="s">
        <v>124</v>
      </c>
      <c r="B71" s="75" t="s">
        <v>22</v>
      </c>
      <c r="C71" s="75" t="s">
        <v>31</v>
      </c>
      <c r="D71" s="75" t="s">
        <v>36</v>
      </c>
      <c r="E71" s="75" t="s">
        <v>948</v>
      </c>
      <c r="F71" s="75" t="s">
        <v>117</v>
      </c>
      <c r="G71" s="316">
        <v>3.1</v>
      </c>
      <c r="H71" s="316"/>
      <c r="I71" s="338"/>
      <c r="J71" s="338"/>
      <c r="K71" s="408"/>
      <c r="L71" s="407"/>
      <c r="M71" s="322"/>
      <c r="N71" s="322"/>
      <c r="O71" s="312"/>
      <c r="P71" s="312"/>
      <c r="Q71" s="322"/>
      <c r="R71" s="322"/>
      <c r="S71" s="312"/>
      <c r="T71" s="312"/>
      <c r="U71" s="131">
        <f t="shared" si="2"/>
        <v>3.1</v>
      </c>
      <c r="V71" s="131">
        <f t="shared" si="3"/>
        <v>0</v>
      </c>
    </row>
    <row r="72" spans="1:22" s="80" customFormat="1" ht="15.75" customHeight="1" x14ac:dyDescent="0.25">
      <c r="A72" s="78" t="s">
        <v>804</v>
      </c>
      <c r="B72" s="79" t="s">
        <v>22</v>
      </c>
      <c r="C72" s="79" t="s">
        <v>31</v>
      </c>
      <c r="D72" s="79" t="s">
        <v>36</v>
      </c>
      <c r="E72" s="79" t="s">
        <v>803</v>
      </c>
      <c r="F72" s="79" t="s">
        <v>9</v>
      </c>
      <c r="G72" s="316">
        <f>G73+G75+G76</f>
        <v>0</v>
      </c>
      <c r="H72" s="316">
        <f t="shared" ref="H72:T72" si="29">H73+H75+H76</f>
        <v>0</v>
      </c>
      <c r="I72" s="338">
        <f t="shared" si="29"/>
        <v>0</v>
      </c>
      <c r="J72" s="338">
        <f t="shared" si="29"/>
        <v>0</v>
      </c>
      <c r="K72" s="408">
        <f t="shared" si="29"/>
        <v>0</v>
      </c>
      <c r="L72" s="408">
        <f t="shared" si="29"/>
        <v>0</v>
      </c>
      <c r="M72" s="322">
        <f t="shared" si="29"/>
        <v>0</v>
      </c>
      <c r="N72" s="322">
        <f t="shared" si="29"/>
        <v>0</v>
      </c>
      <c r="O72" s="312">
        <f t="shared" si="29"/>
        <v>0</v>
      </c>
      <c r="P72" s="312">
        <f t="shared" si="29"/>
        <v>0</v>
      </c>
      <c r="Q72" s="322">
        <f t="shared" si="29"/>
        <v>0</v>
      </c>
      <c r="R72" s="322">
        <f t="shared" si="29"/>
        <v>0</v>
      </c>
      <c r="S72" s="312">
        <f t="shared" si="29"/>
        <v>0</v>
      </c>
      <c r="T72" s="312">
        <f t="shared" si="29"/>
        <v>0</v>
      </c>
      <c r="U72" s="132">
        <f t="shared" si="2"/>
        <v>0</v>
      </c>
      <c r="V72" s="132">
        <f t="shared" si="3"/>
        <v>0</v>
      </c>
    </row>
    <row r="73" spans="1:22" s="80" customFormat="1" ht="47.25" customHeight="1" x14ac:dyDescent="0.25">
      <c r="A73" s="78" t="s">
        <v>659</v>
      </c>
      <c r="B73" s="79" t="s">
        <v>22</v>
      </c>
      <c r="C73" s="79" t="s">
        <v>31</v>
      </c>
      <c r="D73" s="79" t="s">
        <v>36</v>
      </c>
      <c r="E73" s="79" t="s">
        <v>680</v>
      </c>
      <c r="F73" s="79" t="s">
        <v>9</v>
      </c>
      <c r="G73" s="316">
        <f t="shared" ref="G73:T73" si="30">G74</f>
        <v>0</v>
      </c>
      <c r="H73" s="316">
        <f t="shared" si="30"/>
        <v>0</v>
      </c>
      <c r="I73" s="338">
        <f t="shared" si="30"/>
        <v>0</v>
      </c>
      <c r="J73" s="338">
        <f t="shared" si="30"/>
        <v>0</v>
      </c>
      <c r="K73" s="408">
        <f t="shared" si="30"/>
        <v>0</v>
      </c>
      <c r="L73" s="408">
        <f t="shared" si="30"/>
        <v>0</v>
      </c>
      <c r="M73" s="322">
        <f t="shared" si="30"/>
        <v>0</v>
      </c>
      <c r="N73" s="322">
        <f t="shared" si="30"/>
        <v>0</v>
      </c>
      <c r="O73" s="312">
        <f t="shared" si="30"/>
        <v>0</v>
      </c>
      <c r="P73" s="312">
        <f t="shared" si="30"/>
        <v>0</v>
      </c>
      <c r="Q73" s="322">
        <f t="shared" si="30"/>
        <v>0</v>
      </c>
      <c r="R73" s="322">
        <f t="shared" si="30"/>
        <v>0</v>
      </c>
      <c r="S73" s="312">
        <f t="shared" si="30"/>
        <v>0</v>
      </c>
      <c r="T73" s="312">
        <f t="shared" si="30"/>
        <v>0</v>
      </c>
      <c r="U73" s="132">
        <f t="shared" si="2"/>
        <v>0</v>
      </c>
      <c r="V73" s="132">
        <f t="shared" si="3"/>
        <v>0</v>
      </c>
    </row>
    <row r="74" spans="1:22" s="77" customFormat="1" ht="31.5" customHeight="1" x14ac:dyDescent="0.25">
      <c r="A74" s="74" t="s">
        <v>124</v>
      </c>
      <c r="B74" s="75" t="s">
        <v>22</v>
      </c>
      <c r="C74" s="75" t="s">
        <v>31</v>
      </c>
      <c r="D74" s="75" t="s">
        <v>36</v>
      </c>
      <c r="E74" s="75" t="s">
        <v>680</v>
      </c>
      <c r="F74" s="75" t="s">
        <v>117</v>
      </c>
      <c r="G74" s="311"/>
      <c r="H74" s="311"/>
      <c r="I74" s="320"/>
      <c r="J74" s="320"/>
      <c r="K74" s="409"/>
      <c r="L74" s="407"/>
      <c r="M74" s="323"/>
      <c r="N74" s="321"/>
      <c r="O74" s="313"/>
      <c r="P74" s="313"/>
      <c r="Q74" s="323"/>
      <c r="R74" s="323"/>
      <c r="S74" s="313"/>
      <c r="T74" s="313"/>
      <c r="U74" s="131">
        <f t="shared" si="2"/>
        <v>0</v>
      </c>
      <c r="V74" s="131">
        <f t="shared" si="3"/>
        <v>0</v>
      </c>
    </row>
    <row r="75" spans="1:22" s="80" customFormat="1" ht="50.25" customHeight="1" outlineLevel="1" x14ac:dyDescent="0.25">
      <c r="A75" s="78" t="s">
        <v>659</v>
      </c>
      <c r="B75" s="79" t="s">
        <v>22</v>
      </c>
      <c r="C75" s="79" t="s">
        <v>31</v>
      </c>
      <c r="D75" s="79" t="s">
        <v>36</v>
      </c>
      <c r="E75" s="79" t="s">
        <v>949</v>
      </c>
      <c r="F75" s="79" t="s">
        <v>9</v>
      </c>
      <c r="G75" s="316">
        <f t="shared" ref="G75:T75" si="31">G76</f>
        <v>0</v>
      </c>
      <c r="H75" s="316">
        <f t="shared" si="31"/>
        <v>0</v>
      </c>
      <c r="I75" s="338">
        <f t="shared" si="31"/>
        <v>0</v>
      </c>
      <c r="J75" s="338">
        <f t="shared" si="31"/>
        <v>0</v>
      </c>
      <c r="K75" s="408">
        <f t="shared" si="31"/>
        <v>0</v>
      </c>
      <c r="L75" s="408">
        <f t="shared" si="31"/>
        <v>0</v>
      </c>
      <c r="M75" s="322">
        <f t="shared" si="31"/>
        <v>0</v>
      </c>
      <c r="N75" s="322">
        <f t="shared" si="31"/>
        <v>0</v>
      </c>
      <c r="O75" s="312">
        <f t="shared" si="31"/>
        <v>0</v>
      </c>
      <c r="P75" s="312">
        <f t="shared" si="31"/>
        <v>0</v>
      </c>
      <c r="Q75" s="322">
        <f t="shared" si="31"/>
        <v>0</v>
      </c>
      <c r="R75" s="322">
        <f t="shared" si="31"/>
        <v>0</v>
      </c>
      <c r="S75" s="312">
        <f t="shared" si="31"/>
        <v>0</v>
      </c>
      <c r="T75" s="312">
        <f t="shared" si="31"/>
        <v>0</v>
      </c>
      <c r="U75" s="132">
        <f t="shared" si="2"/>
        <v>0</v>
      </c>
      <c r="V75" s="132">
        <f t="shared" si="3"/>
        <v>0</v>
      </c>
    </row>
    <row r="76" spans="1:22" s="77" customFormat="1" ht="63" customHeight="1" outlineLevel="1" x14ac:dyDescent="0.25">
      <c r="A76" s="74" t="s">
        <v>124</v>
      </c>
      <c r="B76" s="75" t="s">
        <v>22</v>
      </c>
      <c r="C76" s="75" t="s">
        <v>31</v>
      </c>
      <c r="D76" s="75" t="s">
        <v>36</v>
      </c>
      <c r="E76" s="75" t="s">
        <v>949</v>
      </c>
      <c r="F76" s="75" t="s">
        <v>117</v>
      </c>
      <c r="G76" s="311"/>
      <c r="H76" s="311"/>
      <c r="I76" s="320"/>
      <c r="J76" s="320"/>
      <c r="K76" s="409"/>
      <c r="L76" s="409"/>
      <c r="M76" s="323"/>
      <c r="N76" s="323"/>
      <c r="O76" s="313"/>
      <c r="P76" s="313"/>
      <c r="Q76" s="323"/>
      <c r="R76" s="323"/>
      <c r="S76" s="313"/>
      <c r="T76" s="313"/>
      <c r="U76" s="131">
        <f t="shared" si="2"/>
        <v>0</v>
      </c>
      <c r="V76" s="131">
        <f t="shared" si="3"/>
        <v>0</v>
      </c>
    </row>
    <row r="77" spans="1:22" s="77" customFormat="1" ht="63" customHeight="1" outlineLevel="1" x14ac:dyDescent="0.25">
      <c r="A77" s="78" t="s">
        <v>1143</v>
      </c>
      <c r="B77" s="79" t="s">
        <v>22</v>
      </c>
      <c r="C77" s="79" t="s">
        <v>31</v>
      </c>
      <c r="D77" s="79" t="s">
        <v>36</v>
      </c>
      <c r="E77" s="79" t="s">
        <v>1144</v>
      </c>
      <c r="F77" s="79" t="s">
        <v>9</v>
      </c>
      <c r="G77" s="316">
        <f t="shared" ref="G77:T78" si="32">G78</f>
        <v>1882.627</v>
      </c>
      <c r="H77" s="316">
        <f t="shared" si="32"/>
        <v>0</v>
      </c>
      <c r="I77" s="338">
        <f t="shared" si="32"/>
        <v>1882.627</v>
      </c>
      <c r="J77" s="338">
        <f t="shared" si="32"/>
        <v>0</v>
      </c>
      <c r="K77" s="410">
        <f t="shared" si="32"/>
        <v>0</v>
      </c>
      <c r="L77" s="410">
        <f t="shared" si="32"/>
        <v>0</v>
      </c>
      <c r="M77" s="324">
        <f t="shared" si="32"/>
        <v>0</v>
      </c>
      <c r="N77" s="324">
        <f t="shared" si="32"/>
        <v>0</v>
      </c>
      <c r="O77" s="315">
        <f t="shared" si="32"/>
        <v>0</v>
      </c>
      <c r="P77" s="315">
        <f t="shared" si="32"/>
        <v>0</v>
      </c>
      <c r="Q77" s="324">
        <f t="shared" si="32"/>
        <v>0</v>
      </c>
      <c r="R77" s="324">
        <f t="shared" si="32"/>
        <v>0</v>
      </c>
      <c r="S77" s="315">
        <f t="shared" si="32"/>
        <v>0</v>
      </c>
      <c r="T77" s="315">
        <f t="shared" si="32"/>
        <v>0</v>
      </c>
      <c r="U77" s="132">
        <f t="shared" si="2"/>
        <v>1882.627</v>
      </c>
      <c r="V77" s="132">
        <f t="shared" si="3"/>
        <v>1882.627</v>
      </c>
    </row>
    <row r="78" spans="1:22" s="77" customFormat="1" ht="63" customHeight="1" outlineLevel="1" x14ac:dyDescent="0.25">
      <c r="A78" s="78" t="s">
        <v>1145</v>
      </c>
      <c r="B78" s="79" t="s">
        <v>22</v>
      </c>
      <c r="C78" s="79" t="s">
        <v>31</v>
      </c>
      <c r="D78" s="79" t="s">
        <v>36</v>
      </c>
      <c r="E78" s="79" t="s">
        <v>1146</v>
      </c>
      <c r="F78" s="79" t="s">
        <v>9</v>
      </c>
      <c r="G78" s="316">
        <f t="shared" si="32"/>
        <v>1882.627</v>
      </c>
      <c r="H78" s="316">
        <f t="shared" si="32"/>
        <v>0</v>
      </c>
      <c r="I78" s="338">
        <f t="shared" si="32"/>
        <v>1882.627</v>
      </c>
      <c r="J78" s="338">
        <f t="shared" si="32"/>
        <v>0</v>
      </c>
      <c r="K78" s="410">
        <f t="shared" si="32"/>
        <v>0</v>
      </c>
      <c r="L78" s="410">
        <f t="shared" si="32"/>
        <v>0</v>
      </c>
      <c r="M78" s="324">
        <f t="shared" si="32"/>
        <v>0</v>
      </c>
      <c r="N78" s="324">
        <f t="shared" si="32"/>
        <v>0</v>
      </c>
      <c r="O78" s="315">
        <f t="shared" si="32"/>
        <v>0</v>
      </c>
      <c r="P78" s="315">
        <f t="shared" si="32"/>
        <v>0</v>
      </c>
      <c r="Q78" s="324">
        <f t="shared" si="32"/>
        <v>0</v>
      </c>
      <c r="R78" s="324">
        <f t="shared" si="32"/>
        <v>0</v>
      </c>
      <c r="S78" s="315">
        <f t="shared" si="32"/>
        <v>0</v>
      </c>
      <c r="T78" s="315">
        <f t="shared" si="32"/>
        <v>0</v>
      </c>
      <c r="U78" s="132">
        <f t="shared" si="2"/>
        <v>1882.627</v>
      </c>
      <c r="V78" s="132">
        <f t="shared" si="3"/>
        <v>1882.627</v>
      </c>
    </row>
    <row r="79" spans="1:22" s="77" customFormat="1" ht="63" customHeight="1" outlineLevel="1" x14ac:dyDescent="0.25">
      <c r="A79" s="74" t="s">
        <v>115</v>
      </c>
      <c r="B79" s="75" t="s">
        <v>22</v>
      </c>
      <c r="C79" s="75" t="s">
        <v>31</v>
      </c>
      <c r="D79" s="75" t="s">
        <v>36</v>
      </c>
      <c r="E79" s="75" t="s">
        <v>1146</v>
      </c>
      <c r="F79" s="75" t="s">
        <v>113</v>
      </c>
      <c r="G79" s="359">
        <f>1863.8+18.827</f>
        <v>1882.627</v>
      </c>
      <c r="H79" s="311"/>
      <c r="I79" s="359">
        <f>1863.8+18.827</f>
        <v>1882.627</v>
      </c>
      <c r="J79" s="320"/>
      <c r="K79" s="409"/>
      <c r="L79" s="409"/>
      <c r="M79" s="323"/>
      <c r="N79" s="323"/>
      <c r="O79" s="313"/>
      <c r="P79" s="313"/>
      <c r="Q79" s="323"/>
      <c r="R79" s="323"/>
      <c r="S79" s="313"/>
      <c r="T79" s="313"/>
      <c r="U79" s="131">
        <f t="shared" si="2"/>
        <v>1882.627</v>
      </c>
      <c r="V79" s="131">
        <f t="shared" si="3"/>
        <v>1882.627</v>
      </c>
    </row>
    <row r="80" spans="1:22" s="80" customFormat="1" ht="63" customHeight="1" outlineLevel="1" x14ac:dyDescent="0.25">
      <c r="A80" s="78" t="s">
        <v>808</v>
      </c>
      <c r="B80" s="79" t="s">
        <v>22</v>
      </c>
      <c r="C80" s="79" t="s">
        <v>31</v>
      </c>
      <c r="D80" s="79" t="s">
        <v>36</v>
      </c>
      <c r="E80" s="79" t="s">
        <v>809</v>
      </c>
      <c r="F80" s="79" t="s">
        <v>9</v>
      </c>
      <c r="G80" s="316">
        <f t="shared" ref="G80:T80" si="33">G81</f>
        <v>0</v>
      </c>
      <c r="H80" s="316">
        <f t="shared" si="33"/>
        <v>0</v>
      </c>
      <c r="I80" s="338">
        <f t="shared" si="33"/>
        <v>0</v>
      </c>
      <c r="J80" s="338">
        <f t="shared" si="33"/>
        <v>0</v>
      </c>
      <c r="K80" s="408">
        <f t="shared" si="33"/>
        <v>0</v>
      </c>
      <c r="L80" s="408">
        <f t="shared" si="33"/>
        <v>0</v>
      </c>
      <c r="M80" s="322">
        <f t="shared" si="33"/>
        <v>0</v>
      </c>
      <c r="N80" s="322">
        <f t="shared" si="33"/>
        <v>0</v>
      </c>
      <c r="O80" s="312">
        <f t="shared" si="33"/>
        <v>0</v>
      </c>
      <c r="P80" s="312">
        <f t="shared" si="33"/>
        <v>0</v>
      </c>
      <c r="Q80" s="322">
        <f t="shared" si="33"/>
        <v>0</v>
      </c>
      <c r="R80" s="322">
        <f t="shared" si="33"/>
        <v>0</v>
      </c>
      <c r="S80" s="312">
        <f t="shared" si="33"/>
        <v>0</v>
      </c>
      <c r="T80" s="312">
        <f t="shared" si="33"/>
        <v>0</v>
      </c>
      <c r="U80" s="132">
        <f t="shared" si="2"/>
        <v>0</v>
      </c>
      <c r="V80" s="132">
        <f t="shared" si="3"/>
        <v>0</v>
      </c>
    </row>
    <row r="81" spans="1:22" s="77" customFormat="1" ht="31.5" customHeight="1" outlineLevel="1" x14ac:dyDescent="0.25">
      <c r="A81" s="264" t="s">
        <v>124</v>
      </c>
      <c r="B81" s="265" t="s">
        <v>22</v>
      </c>
      <c r="C81" s="265" t="s">
        <v>31</v>
      </c>
      <c r="D81" s="265" t="s">
        <v>36</v>
      </c>
      <c r="E81" s="265" t="s">
        <v>809</v>
      </c>
      <c r="F81" s="265" t="s">
        <v>117</v>
      </c>
      <c r="G81" s="311"/>
      <c r="H81" s="311"/>
      <c r="I81" s="320"/>
      <c r="J81" s="320"/>
      <c r="K81" s="409"/>
      <c r="L81" s="407"/>
      <c r="M81" s="323"/>
      <c r="N81" s="321"/>
      <c r="O81" s="313"/>
      <c r="P81" s="313"/>
      <c r="Q81" s="323"/>
      <c r="R81" s="323"/>
      <c r="S81" s="313"/>
      <c r="T81" s="313"/>
      <c r="U81" s="131">
        <f t="shared" si="2"/>
        <v>0</v>
      </c>
      <c r="V81" s="131">
        <f t="shared" si="3"/>
        <v>0</v>
      </c>
    </row>
    <row r="82" spans="1:22" s="77" customFormat="1" ht="47.25" x14ac:dyDescent="0.25">
      <c r="A82" s="78" t="s">
        <v>1110</v>
      </c>
      <c r="B82" s="79" t="s">
        <v>22</v>
      </c>
      <c r="C82" s="79" t="s">
        <v>31</v>
      </c>
      <c r="D82" s="79" t="s">
        <v>36</v>
      </c>
      <c r="E82" s="79" t="s">
        <v>386</v>
      </c>
      <c r="F82" s="79" t="s">
        <v>9</v>
      </c>
      <c r="G82" s="316">
        <f t="shared" ref="G82:T83" si="34">G83</f>
        <v>268.2</v>
      </c>
      <c r="H82" s="316">
        <f t="shared" si="34"/>
        <v>0</v>
      </c>
      <c r="I82" s="338">
        <f t="shared" si="34"/>
        <v>268.2</v>
      </c>
      <c r="J82" s="338">
        <f t="shared" si="34"/>
        <v>0</v>
      </c>
      <c r="K82" s="408">
        <f t="shared" si="34"/>
        <v>0</v>
      </c>
      <c r="L82" s="408">
        <f t="shared" si="34"/>
        <v>0</v>
      </c>
      <c r="M82" s="322">
        <f t="shared" si="34"/>
        <v>0</v>
      </c>
      <c r="N82" s="322">
        <f t="shared" si="34"/>
        <v>0</v>
      </c>
      <c r="O82" s="312">
        <f t="shared" si="34"/>
        <v>0</v>
      </c>
      <c r="P82" s="312">
        <f t="shared" si="34"/>
        <v>0</v>
      </c>
      <c r="Q82" s="322">
        <f t="shared" si="34"/>
        <v>0</v>
      </c>
      <c r="R82" s="322">
        <f t="shared" si="34"/>
        <v>0</v>
      </c>
      <c r="S82" s="312">
        <f t="shared" si="34"/>
        <v>0</v>
      </c>
      <c r="T82" s="312">
        <f t="shared" si="34"/>
        <v>0</v>
      </c>
      <c r="U82" s="132">
        <f t="shared" si="2"/>
        <v>268.2</v>
      </c>
      <c r="V82" s="132">
        <f t="shared" si="3"/>
        <v>268.2</v>
      </c>
    </row>
    <row r="83" spans="1:22" s="77" customFormat="1" ht="94.5" x14ac:dyDescent="0.25">
      <c r="A83" s="78" t="s">
        <v>852</v>
      </c>
      <c r="B83" s="79" t="s">
        <v>22</v>
      </c>
      <c r="C83" s="79" t="s">
        <v>31</v>
      </c>
      <c r="D83" s="79" t="s">
        <v>36</v>
      </c>
      <c r="E83" s="79" t="s">
        <v>851</v>
      </c>
      <c r="F83" s="79" t="s">
        <v>9</v>
      </c>
      <c r="G83" s="316">
        <f t="shared" si="34"/>
        <v>268.2</v>
      </c>
      <c r="H83" s="316">
        <f t="shared" si="34"/>
        <v>0</v>
      </c>
      <c r="I83" s="338">
        <f t="shared" si="34"/>
        <v>268.2</v>
      </c>
      <c r="J83" s="338">
        <f t="shared" si="34"/>
        <v>0</v>
      </c>
      <c r="K83" s="408">
        <f t="shared" si="34"/>
        <v>0</v>
      </c>
      <c r="L83" s="408">
        <f t="shared" si="34"/>
        <v>0</v>
      </c>
      <c r="M83" s="322">
        <f t="shared" si="34"/>
        <v>0</v>
      </c>
      <c r="N83" s="322">
        <f t="shared" si="34"/>
        <v>0</v>
      </c>
      <c r="O83" s="312">
        <f t="shared" si="34"/>
        <v>0</v>
      </c>
      <c r="P83" s="312">
        <f t="shared" si="34"/>
        <v>0</v>
      </c>
      <c r="Q83" s="322">
        <f t="shared" si="34"/>
        <v>0</v>
      </c>
      <c r="R83" s="322">
        <f t="shared" si="34"/>
        <v>0</v>
      </c>
      <c r="S83" s="312">
        <f t="shared" si="34"/>
        <v>0</v>
      </c>
      <c r="T83" s="312">
        <f t="shared" si="34"/>
        <v>0</v>
      </c>
      <c r="U83" s="132">
        <f t="shared" si="2"/>
        <v>268.2</v>
      </c>
      <c r="V83" s="132">
        <f t="shared" si="3"/>
        <v>268.2</v>
      </c>
    </row>
    <row r="84" spans="1:22" s="77" customFormat="1" ht="63" x14ac:dyDescent="0.25">
      <c r="A84" s="74" t="s">
        <v>115</v>
      </c>
      <c r="B84" s="75" t="s">
        <v>22</v>
      </c>
      <c r="C84" s="75" t="s">
        <v>31</v>
      </c>
      <c r="D84" s="75" t="s">
        <v>36</v>
      </c>
      <c r="E84" s="75" t="s">
        <v>851</v>
      </c>
      <c r="F84" s="75" t="s">
        <v>113</v>
      </c>
      <c r="G84" s="311">
        <v>268.2</v>
      </c>
      <c r="H84" s="311"/>
      <c r="I84" s="320">
        <v>268.2</v>
      </c>
      <c r="J84" s="320"/>
      <c r="K84" s="409"/>
      <c r="L84" s="409"/>
      <c r="M84" s="323"/>
      <c r="N84" s="323"/>
      <c r="O84" s="313"/>
      <c r="P84" s="313"/>
      <c r="Q84" s="323"/>
      <c r="R84" s="323"/>
      <c r="S84" s="313"/>
      <c r="T84" s="313"/>
      <c r="U84" s="131">
        <f t="shared" si="2"/>
        <v>268.2</v>
      </c>
      <c r="V84" s="131">
        <f t="shared" si="3"/>
        <v>268.2</v>
      </c>
    </row>
    <row r="85" spans="1:22" s="77" customFormat="1" ht="47.25" x14ac:dyDescent="0.25">
      <c r="A85" s="78" t="s">
        <v>853</v>
      </c>
      <c r="B85" s="79" t="s">
        <v>22</v>
      </c>
      <c r="C85" s="79" t="s">
        <v>31</v>
      </c>
      <c r="D85" s="79" t="s">
        <v>36</v>
      </c>
      <c r="E85" s="79" t="s">
        <v>854</v>
      </c>
      <c r="F85" s="79" t="s">
        <v>9</v>
      </c>
      <c r="G85" s="316">
        <f t="shared" ref="G85:T85" si="35">G86</f>
        <v>10689.400000000001</v>
      </c>
      <c r="H85" s="316">
        <f t="shared" si="35"/>
        <v>0</v>
      </c>
      <c r="I85" s="338">
        <f t="shared" si="35"/>
        <v>10887.3</v>
      </c>
      <c r="J85" s="338">
        <f t="shared" si="35"/>
        <v>0</v>
      </c>
      <c r="K85" s="408">
        <f t="shared" si="35"/>
        <v>-0.7</v>
      </c>
      <c r="L85" s="408">
        <f t="shared" si="35"/>
        <v>-0.5</v>
      </c>
      <c r="M85" s="322">
        <f t="shared" si="35"/>
        <v>0</v>
      </c>
      <c r="N85" s="322">
        <f t="shared" si="35"/>
        <v>0</v>
      </c>
      <c r="O85" s="312">
        <f t="shared" si="35"/>
        <v>0</v>
      </c>
      <c r="P85" s="312">
        <f t="shared" si="35"/>
        <v>0</v>
      </c>
      <c r="Q85" s="322">
        <f t="shared" si="35"/>
        <v>0</v>
      </c>
      <c r="R85" s="322">
        <f t="shared" si="35"/>
        <v>0</v>
      </c>
      <c r="S85" s="312">
        <f t="shared" si="35"/>
        <v>0</v>
      </c>
      <c r="T85" s="312">
        <f t="shared" si="35"/>
        <v>0</v>
      </c>
      <c r="U85" s="132">
        <f t="shared" ref="U85:U153" si="36">G85+K85+M85+O85+Q85+S85+H85</f>
        <v>10688.7</v>
      </c>
      <c r="V85" s="132">
        <f t="shared" ref="V85:V153" si="37">I85+L85+N85+P85+R85+T85+J85</f>
        <v>10886.8</v>
      </c>
    </row>
    <row r="86" spans="1:22" s="77" customFormat="1" ht="31.5" x14ac:dyDescent="0.25">
      <c r="A86" s="74" t="s">
        <v>124</v>
      </c>
      <c r="B86" s="75" t="s">
        <v>22</v>
      </c>
      <c r="C86" s="75" t="s">
        <v>31</v>
      </c>
      <c r="D86" s="75" t="s">
        <v>36</v>
      </c>
      <c r="E86" s="75" t="s">
        <v>854</v>
      </c>
      <c r="F86" s="75" t="s">
        <v>117</v>
      </c>
      <c r="G86" s="359">
        <f>10643.6-61.8+107.6</f>
        <v>10689.400000000001</v>
      </c>
      <c r="H86" s="311"/>
      <c r="I86" s="359">
        <f>10826.6-48.7+109.4</f>
        <v>10887.3</v>
      </c>
      <c r="J86" s="320"/>
      <c r="K86" s="409">
        <v>-0.7</v>
      </c>
      <c r="L86" s="409">
        <v>-0.5</v>
      </c>
      <c r="M86" s="323"/>
      <c r="N86" s="323"/>
      <c r="O86" s="313"/>
      <c r="P86" s="313"/>
      <c r="Q86" s="323"/>
      <c r="R86" s="323"/>
      <c r="S86" s="313"/>
      <c r="T86" s="313"/>
      <c r="U86" s="131">
        <f t="shared" si="36"/>
        <v>10688.7</v>
      </c>
      <c r="V86" s="131">
        <f t="shared" si="37"/>
        <v>10886.8</v>
      </c>
    </row>
    <row r="87" spans="1:22" s="77" customFormat="1" ht="94.5" x14ac:dyDescent="0.25">
      <c r="A87" s="78" t="s">
        <v>1152</v>
      </c>
      <c r="B87" s="79" t="s">
        <v>22</v>
      </c>
      <c r="C87" s="79" t="s">
        <v>31</v>
      </c>
      <c r="D87" s="79" t="s">
        <v>36</v>
      </c>
      <c r="E87" s="79" t="s">
        <v>855</v>
      </c>
      <c r="F87" s="79" t="s">
        <v>9</v>
      </c>
      <c r="G87" s="316">
        <f t="shared" ref="G87:T87" si="38">G88</f>
        <v>12967.9</v>
      </c>
      <c r="H87" s="316">
        <f t="shared" si="38"/>
        <v>0</v>
      </c>
      <c r="I87" s="338">
        <f t="shared" si="38"/>
        <v>12967.9</v>
      </c>
      <c r="J87" s="338">
        <f t="shared" si="38"/>
        <v>0</v>
      </c>
      <c r="K87" s="408">
        <f t="shared" si="38"/>
        <v>0</v>
      </c>
      <c r="L87" s="408">
        <f t="shared" si="38"/>
        <v>0</v>
      </c>
      <c r="M87" s="322">
        <f t="shared" si="38"/>
        <v>0</v>
      </c>
      <c r="N87" s="322">
        <f t="shared" si="38"/>
        <v>0</v>
      </c>
      <c r="O87" s="312">
        <f t="shared" si="38"/>
        <v>0</v>
      </c>
      <c r="P87" s="312">
        <f t="shared" si="38"/>
        <v>0</v>
      </c>
      <c r="Q87" s="322">
        <f t="shared" si="38"/>
        <v>0</v>
      </c>
      <c r="R87" s="322">
        <f t="shared" si="38"/>
        <v>0</v>
      </c>
      <c r="S87" s="312">
        <f t="shared" si="38"/>
        <v>0</v>
      </c>
      <c r="T87" s="312">
        <f t="shared" si="38"/>
        <v>0</v>
      </c>
      <c r="U87" s="132">
        <f t="shared" si="36"/>
        <v>12967.9</v>
      </c>
      <c r="V87" s="132">
        <f t="shared" si="37"/>
        <v>12967.9</v>
      </c>
    </row>
    <row r="88" spans="1:22" s="77" customFormat="1" ht="63" x14ac:dyDescent="0.25">
      <c r="A88" s="74" t="s">
        <v>115</v>
      </c>
      <c r="B88" s="75" t="s">
        <v>22</v>
      </c>
      <c r="C88" s="75" t="s">
        <v>31</v>
      </c>
      <c r="D88" s="75" t="s">
        <v>36</v>
      </c>
      <c r="E88" s="75" t="s">
        <v>855</v>
      </c>
      <c r="F88" s="75" t="s">
        <v>113</v>
      </c>
      <c r="G88" s="311">
        <v>12967.9</v>
      </c>
      <c r="H88" s="311"/>
      <c r="I88" s="320">
        <v>12967.9</v>
      </c>
      <c r="J88" s="320"/>
      <c r="K88" s="409"/>
      <c r="L88" s="409"/>
      <c r="M88" s="323"/>
      <c r="N88" s="323"/>
      <c r="O88" s="313"/>
      <c r="P88" s="313"/>
      <c r="Q88" s="323"/>
      <c r="R88" s="323"/>
      <c r="S88" s="313"/>
      <c r="T88" s="313"/>
      <c r="U88" s="131">
        <f t="shared" si="36"/>
        <v>12967.9</v>
      </c>
      <c r="V88" s="131">
        <f t="shared" si="37"/>
        <v>12967.9</v>
      </c>
    </row>
    <row r="89" spans="1:22" s="80" customFormat="1" ht="31.5" customHeight="1" x14ac:dyDescent="0.25">
      <c r="A89" s="78" t="s">
        <v>784</v>
      </c>
      <c r="B89" s="79" t="s">
        <v>22</v>
      </c>
      <c r="C89" s="79" t="s">
        <v>31</v>
      </c>
      <c r="D89" s="79" t="s">
        <v>36</v>
      </c>
      <c r="E89" s="79" t="s">
        <v>380</v>
      </c>
      <c r="F89" s="79" t="s">
        <v>9</v>
      </c>
      <c r="G89" s="316">
        <f t="shared" ref="G89:T91" si="39">G90</f>
        <v>0</v>
      </c>
      <c r="H89" s="316">
        <f t="shared" si="39"/>
        <v>0</v>
      </c>
      <c r="I89" s="338">
        <f t="shared" si="39"/>
        <v>0</v>
      </c>
      <c r="J89" s="338">
        <f t="shared" si="39"/>
        <v>0</v>
      </c>
      <c r="K89" s="408">
        <f t="shared" si="39"/>
        <v>0</v>
      </c>
      <c r="L89" s="408">
        <f t="shared" si="39"/>
        <v>0</v>
      </c>
      <c r="M89" s="322">
        <f t="shared" si="39"/>
        <v>0</v>
      </c>
      <c r="N89" s="322">
        <f t="shared" si="39"/>
        <v>0</v>
      </c>
      <c r="O89" s="312">
        <f t="shared" si="39"/>
        <v>0</v>
      </c>
      <c r="P89" s="312">
        <f t="shared" si="39"/>
        <v>0</v>
      </c>
      <c r="Q89" s="322">
        <f t="shared" si="39"/>
        <v>0</v>
      </c>
      <c r="R89" s="322">
        <f t="shared" si="39"/>
        <v>0</v>
      </c>
      <c r="S89" s="312">
        <f t="shared" si="39"/>
        <v>0</v>
      </c>
      <c r="T89" s="312">
        <f t="shared" si="39"/>
        <v>0</v>
      </c>
      <c r="U89" s="132">
        <f t="shared" si="36"/>
        <v>0</v>
      </c>
      <c r="V89" s="132">
        <f t="shared" si="37"/>
        <v>0</v>
      </c>
    </row>
    <row r="90" spans="1:22" s="80" customFormat="1" ht="15.75" customHeight="1" x14ac:dyDescent="0.25">
      <c r="A90" s="78" t="s">
        <v>692</v>
      </c>
      <c r="B90" s="79" t="s">
        <v>22</v>
      </c>
      <c r="C90" s="79" t="s">
        <v>31</v>
      </c>
      <c r="D90" s="79" t="s">
        <v>36</v>
      </c>
      <c r="E90" s="79" t="s">
        <v>381</v>
      </c>
      <c r="F90" s="79" t="s">
        <v>9</v>
      </c>
      <c r="G90" s="316">
        <f t="shared" si="39"/>
        <v>0</v>
      </c>
      <c r="H90" s="316">
        <f t="shared" si="39"/>
        <v>0</v>
      </c>
      <c r="I90" s="338">
        <f t="shared" si="39"/>
        <v>0</v>
      </c>
      <c r="J90" s="338">
        <f t="shared" si="39"/>
        <v>0</v>
      </c>
      <c r="K90" s="408">
        <f t="shared" si="39"/>
        <v>0</v>
      </c>
      <c r="L90" s="408">
        <f t="shared" si="39"/>
        <v>0</v>
      </c>
      <c r="M90" s="322">
        <f t="shared" si="39"/>
        <v>0</v>
      </c>
      <c r="N90" s="322">
        <f t="shared" si="39"/>
        <v>0</v>
      </c>
      <c r="O90" s="312">
        <f t="shared" si="39"/>
        <v>0</v>
      </c>
      <c r="P90" s="312">
        <f t="shared" si="39"/>
        <v>0</v>
      </c>
      <c r="Q90" s="322">
        <f t="shared" si="39"/>
        <v>0</v>
      </c>
      <c r="R90" s="322">
        <f t="shared" si="39"/>
        <v>0</v>
      </c>
      <c r="S90" s="312">
        <f t="shared" si="39"/>
        <v>0</v>
      </c>
      <c r="T90" s="312">
        <f t="shared" si="39"/>
        <v>0</v>
      </c>
      <c r="U90" s="132">
        <f t="shared" si="36"/>
        <v>0</v>
      </c>
      <c r="V90" s="132">
        <f t="shared" si="37"/>
        <v>0</v>
      </c>
    </row>
    <row r="91" spans="1:22" s="80" customFormat="1" ht="15.75" customHeight="1" x14ac:dyDescent="0.25">
      <c r="A91" s="78" t="s">
        <v>133</v>
      </c>
      <c r="B91" s="79" t="s">
        <v>22</v>
      </c>
      <c r="C91" s="79" t="s">
        <v>31</v>
      </c>
      <c r="D91" s="79" t="s">
        <v>36</v>
      </c>
      <c r="E91" s="79" t="s">
        <v>382</v>
      </c>
      <c r="F91" s="79" t="s">
        <v>9</v>
      </c>
      <c r="G91" s="316">
        <f t="shared" si="39"/>
        <v>0</v>
      </c>
      <c r="H91" s="316">
        <f t="shared" si="39"/>
        <v>0</v>
      </c>
      <c r="I91" s="338">
        <f t="shared" si="39"/>
        <v>0</v>
      </c>
      <c r="J91" s="338">
        <f t="shared" si="39"/>
        <v>0</v>
      </c>
      <c r="K91" s="408">
        <f t="shared" si="39"/>
        <v>0</v>
      </c>
      <c r="L91" s="408">
        <f t="shared" si="39"/>
        <v>0</v>
      </c>
      <c r="M91" s="322">
        <f t="shared" si="39"/>
        <v>0</v>
      </c>
      <c r="N91" s="322">
        <f t="shared" si="39"/>
        <v>0</v>
      </c>
      <c r="O91" s="312">
        <f t="shared" si="39"/>
        <v>0</v>
      </c>
      <c r="P91" s="312">
        <f t="shared" si="39"/>
        <v>0</v>
      </c>
      <c r="Q91" s="322">
        <f t="shared" si="39"/>
        <v>0</v>
      </c>
      <c r="R91" s="322">
        <f t="shared" si="39"/>
        <v>0</v>
      </c>
      <c r="S91" s="312">
        <f t="shared" si="39"/>
        <v>0</v>
      </c>
      <c r="T91" s="312">
        <f t="shared" si="39"/>
        <v>0</v>
      </c>
      <c r="U91" s="132">
        <f t="shared" si="36"/>
        <v>0</v>
      </c>
      <c r="V91" s="132">
        <f t="shared" si="37"/>
        <v>0</v>
      </c>
    </row>
    <row r="92" spans="1:22" s="77" customFormat="1" ht="63" customHeight="1" x14ac:dyDescent="0.25">
      <c r="A92" s="74" t="s">
        <v>115</v>
      </c>
      <c r="B92" s="75" t="s">
        <v>22</v>
      </c>
      <c r="C92" s="75" t="s">
        <v>31</v>
      </c>
      <c r="D92" s="75" t="s">
        <v>36</v>
      </c>
      <c r="E92" s="75" t="s">
        <v>382</v>
      </c>
      <c r="F92" s="75" t="s">
        <v>113</v>
      </c>
      <c r="G92" s="311"/>
      <c r="H92" s="311"/>
      <c r="I92" s="320"/>
      <c r="J92" s="320"/>
      <c r="K92" s="409"/>
      <c r="L92" s="409"/>
      <c r="M92" s="323"/>
      <c r="N92" s="323"/>
      <c r="O92" s="313"/>
      <c r="P92" s="313"/>
      <c r="Q92" s="323"/>
      <c r="R92" s="323"/>
      <c r="S92" s="313"/>
      <c r="T92" s="313"/>
      <c r="U92" s="131">
        <f t="shared" si="36"/>
        <v>0</v>
      </c>
      <c r="V92" s="131">
        <f t="shared" si="37"/>
        <v>0</v>
      </c>
    </row>
    <row r="93" spans="1:22" s="77" customFormat="1" x14ac:dyDescent="0.25">
      <c r="A93" s="78" t="s">
        <v>516</v>
      </c>
      <c r="B93" s="79" t="s">
        <v>22</v>
      </c>
      <c r="C93" s="79" t="s">
        <v>31</v>
      </c>
      <c r="D93" s="79" t="s">
        <v>20</v>
      </c>
      <c r="E93" s="79" t="s">
        <v>365</v>
      </c>
      <c r="F93" s="79" t="s">
        <v>9</v>
      </c>
      <c r="G93" s="311">
        <f t="shared" ref="G93:T93" si="40">G94</f>
        <v>0</v>
      </c>
      <c r="H93" s="311">
        <f t="shared" si="40"/>
        <v>19375.399999999994</v>
      </c>
      <c r="I93" s="320">
        <f t="shared" si="40"/>
        <v>0</v>
      </c>
      <c r="J93" s="320">
        <f t="shared" si="40"/>
        <v>21223.599999999995</v>
      </c>
      <c r="K93" s="407">
        <f t="shared" si="40"/>
        <v>0</v>
      </c>
      <c r="L93" s="407">
        <f t="shared" si="40"/>
        <v>0</v>
      </c>
      <c r="M93" s="321">
        <f t="shared" si="40"/>
        <v>0</v>
      </c>
      <c r="N93" s="321">
        <f t="shared" si="40"/>
        <v>0</v>
      </c>
      <c r="O93" s="310">
        <f t="shared" si="40"/>
        <v>0</v>
      </c>
      <c r="P93" s="310">
        <f t="shared" si="40"/>
        <v>0</v>
      </c>
      <c r="Q93" s="321">
        <f t="shared" si="40"/>
        <v>0</v>
      </c>
      <c r="R93" s="321">
        <f t="shared" si="40"/>
        <v>0</v>
      </c>
      <c r="S93" s="310">
        <f t="shared" si="40"/>
        <v>0</v>
      </c>
      <c r="T93" s="310">
        <f t="shared" si="40"/>
        <v>0</v>
      </c>
      <c r="U93" s="132">
        <f t="shared" si="36"/>
        <v>19375.399999999994</v>
      </c>
      <c r="V93" s="132">
        <f t="shared" si="37"/>
        <v>21223.599999999995</v>
      </c>
    </row>
    <row r="94" spans="1:22" s="80" customFormat="1" ht="31.5" x14ac:dyDescent="0.25">
      <c r="A94" s="78" t="s">
        <v>783</v>
      </c>
      <c r="B94" s="79" t="s">
        <v>22</v>
      </c>
      <c r="C94" s="79" t="s">
        <v>31</v>
      </c>
      <c r="D94" s="79" t="s">
        <v>20</v>
      </c>
      <c r="E94" s="79" t="s">
        <v>366</v>
      </c>
      <c r="F94" s="79" t="s">
        <v>9</v>
      </c>
      <c r="G94" s="316">
        <f t="shared" ref="G94:O94" si="41">G95+G106+G109</f>
        <v>0</v>
      </c>
      <c r="H94" s="316">
        <f>H95+H106+H109</f>
        <v>19375.399999999994</v>
      </c>
      <c r="I94" s="338">
        <f t="shared" si="41"/>
        <v>0</v>
      </c>
      <c r="J94" s="338">
        <f>J95+J106+J109</f>
        <v>21223.599999999995</v>
      </c>
      <c r="K94" s="408">
        <f t="shared" si="41"/>
        <v>0</v>
      </c>
      <c r="L94" s="408">
        <f t="shared" si="41"/>
        <v>0</v>
      </c>
      <c r="M94" s="322">
        <f t="shared" si="41"/>
        <v>0</v>
      </c>
      <c r="N94" s="322">
        <f t="shared" si="41"/>
        <v>0</v>
      </c>
      <c r="O94" s="312">
        <f t="shared" si="41"/>
        <v>0</v>
      </c>
      <c r="P94" s="312">
        <f>P95+P106+P109</f>
        <v>0</v>
      </c>
      <c r="Q94" s="322">
        <f>Q95+Q106+Q109</f>
        <v>0</v>
      </c>
      <c r="R94" s="322">
        <f>R95+R106+R109</f>
        <v>0</v>
      </c>
      <c r="S94" s="312">
        <f>S95+S106+S109</f>
        <v>0</v>
      </c>
      <c r="T94" s="312">
        <f>T95+T106+T109</f>
        <v>0</v>
      </c>
      <c r="U94" s="132">
        <f t="shared" si="36"/>
        <v>19375.399999999994</v>
      </c>
      <c r="V94" s="132">
        <f t="shared" si="37"/>
        <v>21223.599999999995</v>
      </c>
    </row>
    <row r="95" spans="1:22" s="80" customFormat="1" ht="31.5" x14ac:dyDescent="0.25">
      <c r="A95" s="78" t="s">
        <v>567</v>
      </c>
      <c r="B95" s="79" t="s">
        <v>22</v>
      </c>
      <c r="C95" s="79" t="s">
        <v>31</v>
      </c>
      <c r="D95" s="79" t="s">
        <v>20</v>
      </c>
      <c r="E95" s="79" t="s">
        <v>376</v>
      </c>
      <c r="F95" s="79" t="s">
        <v>9</v>
      </c>
      <c r="G95" s="316">
        <f t="shared" ref="G95:O95" si="42">G96+G100+G104</f>
        <v>0</v>
      </c>
      <c r="H95" s="316">
        <f>H96+H100+H104</f>
        <v>18753.799999999996</v>
      </c>
      <c r="I95" s="338">
        <f t="shared" si="42"/>
        <v>0</v>
      </c>
      <c r="J95" s="338">
        <f>J96+J100+J104</f>
        <v>20601.999999999996</v>
      </c>
      <c r="K95" s="408">
        <f t="shared" si="42"/>
        <v>0</v>
      </c>
      <c r="L95" s="408">
        <f t="shared" si="42"/>
        <v>0</v>
      </c>
      <c r="M95" s="322">
        <f t="shared" si="42"/>
        <v>0</v>
      </c>
      <c r="N95" s="322">
        <f t="shared" si="42"/>
        <v>0</v>
      </c>
      <c r="O95" s="312">
        <f t="shared" si="42"/>
        <v>0</v>
      </c>
      <c r="P95" s="312">
        <f>P96+P100+P104</f>
        <v>0</v>
      </c>
      <c r="Q95" s="322">
        <f>Q96+Q100+Q104</f>
        <v>0</v>
      </c>
      <c r="R95" s="322">
        <f>R96+R100+R104</f>
        <v>0</v>
      </c>
      <c r="S95" s="312">
        <f>S96+S100+S104</f>
        <v>0</v>
      </c>
      <c r="T95" s="312">
        <f>T96+T100+T104</f>
        <v>0</v>
      </c>
      <c r="U95" s="132">
        <f t="shared" si="36"/>
        <v>18753.799999999996</v>
      </c>
      <c r="V95" s="132">
        <f t="shared" si="37"/>
        <v>20601.999999999996</v>
      </c>
    </row>
    <row r="96" spans="1:22" s="80" customFormat="1" x14ac:dyDescent="0.25">
      <c r="A96" s="78" t="s">
        <v>38</v>
      </c>
      <c r="B96" s="79" t="s">
        <v>22</v>
      </c>
      <c r="C96" s="79" t="s">
        <v>31</v>
      </c>
      <c r="D96" s="79" t="s">
        <v>20</v>
      </c>
      <c r="E96" s="79" t="s">
        <v>377</v>
      </c>
      <c r="F96" s="79" t="s">
        <v>9</v>
      </c>
      <c r="G96" s="316">
        <f t="shared" ref="G96:O96" si="43">G97+G98+G99</f>
        <v>0</v>
      </c>
      <c r="H96" s="316">
        <f>H97+H98+H99</f>
        <v>13753.799999999996</v>
      </c>
      <c r="I96" s="338">
        <f t="shared" si="43"/>
        <v>0</v>
      </c>
      <c r="J96" s="338">
        <f>J97+J98+J99</f>
        <v>15601.999999999996</v>
      </c>
      <c r="K96" s="408">
        <f t="shared" si="43"/>
        <v>0</v>
      </c>
      <c r="L96" s="408">
        <f t="shared" si="43"/>
        <v>0</v>
      </c>
      <c r="M96" s="322">
        <f t="shared" si="43"/>
        <v>0</v>
      </c>
      <c r="N96" s="322">
        <f t="shared" si="43"/>
        <v>0</v>
      </c>
      <c r="O96" s="312">
        <f t="shared" si="43"/>
        <v>0</v>
      </c>
      <c r="P96" s="312">
        <f>P97+P98+P99</f>
        <v>0</v>
      </c>
      <c r="Q96" s="322">
        <f>Q97+Q98+Q99</f>
        <v>0</v>
      </c>
      <c r="R96" s="322">
        <f>R97+R98+R99</f>
        <v>0</v>
      </c>
      <c r="S96" s="312">
        <f>S97+S98+S99</f>
        <v>0</v>
      </c>
      <c r="T96" s="312">
        <f>T97+T98+T99</f>
        <v>0</v>
      </c>
      <c r="U96" s="132">
        <f t="shared" si="36"/>
        <v>13753.799999999996</v>
      </c>
      <c r="V96" s="132">
        <f t="shared" si="37"/>
        <v>15601.999999999996</v>
      </c>
    </row>
    <row r="97" spans="1:242" s="77" customFormat="1" ht="63" x14ac:dyDescent="0.25">
      <c r="A97" s="264" t="s">
        <v>115</v>
      </c>
      <c r="B97" s="265" t="s">
        <v>22</v>
      </c>
      <c r="C97" s="265" t="s">
        <v>31</v>
      </c>
      <c r="D97" s="265" t="s">
        <v>20</v>
      </c>
      <c r="E97" s="265" t="s">
        <v>377</v>
      </c>
      <c r="F97" s="265" t="s">
        <v>113</v>
      </c>
      <c r="G97" s="311"/>
      <c r="H97" s="311">
        <f>958.7+33925.6-5000-18939</f>
        <v>10945.299999999996</v>
      </c>
      <c r="I97" s="320"/>
      <c r="J97" s="320">
        <f>958.7+33925.6-5000-18939</f>
        <v>10945.299999999996</v>
      </c>
      <c r="K97" s="409"/>
      <c r="L97" s="409"/>
      <c r="M97" s="323"/>
      <c r="N97" s="323"/>
      <c r="O97" s="313"/>
      <c r="P97" s="313"/>
      <c r="Q97" s="323"/>
      <c r="R97" s="323"/>
      <c r="S97" s="313"/>
      <c r="T97" s="313"/>
      <c r="U97" s="131">
        <f t="shared" si="36"/>
        <v>10945.299999999996</v>
      </c>
      <c r="V97" s="131">
        <f t="shared" si="37"/>
        <v>10945.299999999996</v>
      </c>
    </row>
    <row r="98" spans="1:242" s="77" customFormat="1" ht="31.5" x14ac:dyDescent="0.25">
      <c r="A98" s="264" t="s">
        <v>124</v>
      </c>
      <c r="B98" s="265" t="s">
        <v>22</v>
      </c>
      <c r="C98" s="265" t="s">
        <v>31</v>
      </c>
      <c r="D98" s="265" t="s">
        <v>20</v>
      </c>
      <c r="E98" s="265" t="s">
        <v>377</v>
      </c>
      <c r="F98" s="265" t="s">
        <v>117</v>
      </c>
      <c r="G98" s="311"/>
      <c r="H98" s="311">
        <f>1028.9+3509.3-1826.5</f>
        <v>2711.7000000000007</v>
      </c>
      <c r="I98" s="320"/>
      <c r="J98" s="320">
        <f>1028.9+3509.3</f>
        <v>4538.2000000000007</v>
      </c>
      <c r="K98" s="409"/>
      <c r="L98" s="407"/>
      <c r="M98" s="323"/>
      <c r="N98" s="323"/>
      <c r="O98" s="313"/>
      <c r="P98" s="313"/>
      <c r="Q98" s="323"/>
      <c r="R98" s="323"/>
      <c r="S98" s="313"/>
      <c r="T98" s="313"/>
      <c r="U98" s="131">
        <f t="shared" si="36"/>
        <v>2711.7000000000007</v>
      </c>
      <c r="V98" s="131">
        <f t="shared" si="37"/>
        <v>4538.2000000000007</v>
      </c>
    </row>
    <row r="99" spans="1:242" s="77" customFormat="1" x14ac:dyDescent="0.25">
      <c r="A99" s="74" t="s">
        <v>116</v>
      </c>
      <c r="B99" s="75" t="s">
        <v>22</v>
      </c>
      <c r="C99" s="75" t="s">
        <v>31</v>
      </c>
      <c r="D99" s="75" t="s">
        <v>20</v>
      </c>
      <c r="E99" s="75" t="s">
        <v>377</v>
      </c>
      <c r="F99" s="75" t="s">
        <v>114</v>
      </c>
      <c r="G99" s="311"/>
      <c r="H99" s="311">
        <f>118.5-21.7</f>
        <v>96.8</v>
      </c>
      <c r="I99" s="320"/>
      <c r="J99" s="320">
        <v>118.5</v>
      </c>
      <c r="K99" s="409"/>
      <c r="L99" s="409"/>
      <c r="M99" s="323"/>
      <c r="N99" s="323"/>
      <c r="O99" s="313"/>
      <c r="P99" s="313"/>
      <c r="Q99" s="323"/>
      <c r="R99" s="323"/>
      <c r="S99" s="313"/>
      <c r="T99" s="313"/>
      <c r="U99" s="131">
        <f t="shared" si="36"/>
        <v>96.8</v>
      </c>
      <c r="V99" s="131">
        <f t="shared" si="37"/>
        <v>118.5</v>
      </c>
    </row>
    <row r="100" spans="1:242" s="80" customFormat="1" x14ac:dyDescent="0.25">
      <c r="A100" s="78" t="s">
        <v>38</v>
      </c>
      <c r="B100" s="79" t="s">
        <v>22</v>
      </c>
      <c r="C100" s="79" t="s">
        <v>31</v>
      </c>
      <c r="D100" s="79" t="s">
        <v>20</v>
      </c>
      <c r="E100" s="79" t="s">
        <v>522</v>
      </c>
      <c r="F100" s="79" t="s">
        <v>9</v>
      </c>
      <c r="G100" s="316">
        <f t="shared" ref="G100:T100" si="44">G102+G103+G101</f>
        <v>0</v>
      </c>
      <c r="H100" s="316">
        <f t="shared" si="44"/>
        <v>5000</v>
      </c>
      <c r="I100" s="338">
        <f t="shared" si="44"/>
        <v>0</v>
      </c>
      <c r="J100" s="338">
        <f t="shared" si="44"/>
        <v>5000</v>
      </c>
      <c r="K100" s="408">
        <f t="shared" si="44"/>
        <v>0</v>
      </c>
      <c r="L100" s="408">
        <f t="shared" si="44"/>
        <v>0</v>
      </c>
      <c r="M100" s="322">
        <f t="shared" si="44"/>
        <v>0</v>
      </c>
      <c r="N100" s="322">
        <f t="shared" si="44"/>
        <v>0</v>
      </c>
      <c r="O100" s="312">
        <f t="shared" si="44"/>
        <v>0</v>
      </c>
      <c r="P100" s="312">
        <f t="shared" si="44"/>
        <v>0</v>
      </c>
      <c r="Q100" s="322">
        <f t="shared" si="44"/>
        <v>0</v>
      </c>
      <c r="R100" s="322">
        <f t="shared" si="44"/>
        <v>0</v>
      </c>
      <c r="S100" s="312">
        <f t="shared" si="44"/>
        <v>0</v>
      </c>
      <c r="T100" s="312">
        <f t="shared" si="44"/>
        <v>0</v>
      </c>
      <c r="U100" s="132">
        <f t="shared" si="36"/>
        <v>5000</v>
      </c>
      <c r="V100" s="132">
        <f t="shared" si="37"/>
        <v>5000</v>
      </c>
    </row>
    <row r="101" spans="1:242" s="77" customFormat="1" ht="63" customHeight="1" outlineLevel="1" x14ac:dyDescent="0.25">
      <c r="A101" s="74" t="s">
        <v>115</v>
      </c>
      <c r="B101" s="75" t="s">
        <v>22</v>
      </c>
      <c r="C101" s="75" t="s">
        <v>31</v>
      </c>
      <c r="D101" s="75" t="s">
        <v>20</v>
      </c>
      <c r="E101" s="75" t="s">
        <v>522</v>
      </c>
      <c r="F101" s="75" t="s">
        <v>113</v>
      </c>
      <c r="G101" s="311"/>
      <c r="H101" s="311">
        <v>5000</v>
      </c>
      <c r="I101" s="320"/>
      <c r="J101" s="320">
        <v>5000</v>
      </c>
      <c r="K101" s="409"/>
      <c r="L101" s="407"/>
      <c r="M101" s="323"/>
      <c r="N101" s="323"/>
      <c r="O101" s="313"/>
      <c r="P101" s="313"/>
      <c r="Q101" s="323"/>
      <c r="R101" s="323"/>
      <c r="S101" s="313"/>
      <c r="T101" s="313"/>
      <c r="U101" s="131">
        <f t="shared" si="36"/>
        <v>5000</v>
      </c>
      <c r="V101" s="131">
        <f t="shared" si="37"/>
        <v>5000</v>
      </c>
    </row>
    <row r="102" spans="1:242" s="77" customFormat="1" ht="31.5" x14ac:dyDescent="0.25">
      <c r="A102" s="74" t="s">
        <v>124</v>
      </c>
      <c r="B102" s="75" t="s">
        <v>22</v>
      </c>
      <c r="C102" s="75" t="s">
        <v>31</v>
      </c>
      <c r="D102" s="75" t="s">
        <v>20</v>
      </c>
      <c r="E102" s="75" t="s">
        <v>522</v>
      </c>
      <c r="F102" s="75" t="s">
        <v>117</v>
      </c>
      <c r="G102" s="311"/>
      <c r="H102" s="311"/>
      <c r="I102" s="320"/>
      <c r="J102" s="320"/>
      <c r="K102" s="409"/>
      <c r="L102" s="409"/>
      <c r="M102" s="323"/>
      <c r="N102" s="323"/>
      <c r="O102" s="313"/>
      <c r="P102" s="313"/>
      <c r="Q102" s="323"/>
      <c r="R102" s="323"/>
      <c r="S102" s="313"/>
      <c r="T102" s="313"/>
      <c r="U102" s="131">
        <f t="shared" si="36"/>
        <v>0</v>
      </c>
      <c r="V102" s="131">
        <f t="shared" si="37"/>
        <v>0</v>
      </c>
    </row>
    <row r="103" spans="1:242" s="77" customFormat="1" x14ac:dyDescent="0.25">
      <c r="A103" s="74" t="s">
        <v>116</v>
      </c>
      <c r="B103" s="75" t="s">
        <v>22</v>
      </c>
      <c r="C103" s="75" t="s">
        <v>31</v>
      </c>
      <c r="D103" s="75" t="s">
        <v>20</v>
      </c>
      <c r="E103" s="75" t="s">
        <v>522</v>
      </c>
      <c r="F103" s="75" t="s">
        <v>114</v>
      </c>
      <c r="G103" s="311"/>
      <c r="H103" s="311"/>
      <c r="I103" s="320"/>
      <c r="J103" s="320"/>
      <c r="K103" s="409"/>
      <c r="L103" s="409"/>
      <c r="M103" s="323"/>
      <c r="N103" s="323"/>
      <c r="O103" s="313"/>
      <c r="P103" s="313"/>
      <c r="Q103" s="323"/>
      <c r="R103" s="323"/>
      <c r="S103" s="313"/>
      <c r="T103" s="313"/>
      <c r="U103" s="131">
        <f t="shared" si="36"/>
        <v>0</v>
      </c>
      <c r="V103" s="131">
        <f t="shared" si="37"/>
        <v>0</v>
      </c>
    </row>
    <row r="104" spans="1:242" s="80" customFormat="1" ht="15.75" customHeight="1" outlineLevel="1" x14ac:dyDescent="0.25">
      <c r="A104" s="78" t="s">
        <v>38</v>
      </c>
      <c r="B104" s="79" t="s">
        <v>22</v>
      </c>
      <c r="C104" s="79" t="s">
        <v>31</v>
      </c>
      <c r="D104" s="79" t="s">
        <v>20</v>
      </c>
      <c r="E104" s="79" t="s">
        <v>526</v>
      </c>
      <c r="F104" s="79" t="s">
        <v>9</v>
      </c>
      <c r="G104" s="316">
        <f t="shared" ref="G104:T104" si="45">G105</f>
        <v>0</v>
      </c>
      <c r="H104" s="316">
        <f t="shared" si="45"/>
        <v>0</v>
      </c>
      <c r="I104" s="338">
        <f t="shared" si="45"/>
        <v>0</v>
      </c>
      <c r="J104" s="338">
        <f t="shared" si="45"/>
        <v>0</v>
      </c>
      <c r="K104" s="408">
        <f t="shared" si="45"/>
        <v>0</v>
      </c>
      <c r="L104" s="408">
        <f t="shared" si="45"/>
        <v>0</v>
      </c>
      <c r="M104" s="322">
        <f t="shared" si="45"/>
        <v>0</v>
      </c>
      <c r="N104" s="322">
        <f t="shared" si="45"/>
        <v>0</v>
      </c>
      <c r="O104" s="312">
        <f t="shared" si="45"/>
        <v>0</v>
      </c>
      <c r="P104" s="312">
        <f t="shared" si="45"/>
        <v>0</v>
      </c>
      <c r="Q104" s="322">
        <f t="shared" si="45"/>
        <v>0</v>
      </c>
      <c r="R104" s="322">
        <f t="shared" si="45"/>
        <v>0</v>
      </c>
      <c r="S104" s="312">
        <f t="shared" si="45"/>
        <v>0</v>
      </c>
      <c r="T104" s="312">
        <f t="shared" si="45"/>
        <v>0</v>
      </c>
      <c r="U104" s="132">
        <f t="shared" si="36"/>
        <v>0</v>
      </c>
      <c r="V104" s="132">
        <f t="shared" si="37"/>
        <v>0</v>
      </c>
    </row>
    <row r="105" spans="1:242" s="77" customFormat="1" ht="63" customHeight="1" outlineLevel="1" x14ac:dyDescent="0.25">
      <c r="A105" s="74" t="s">
        <v>115</v>
      </c>
      <c r="B105" s="75" t="s">
        <v>22</v>
      </c>
      <c r="C105" s="75" t="s">
        <v>31</v>
      </c>
      <c r="D105" s="75" t="s">
        <v>20</v>
      </c>
      <c r="E105" s="75" t="s">
        <v>526</v>
      </c>
      <c r="F105" s="75" t="s">
        <v>113</v>
      </c>
      <c r="G105" s="311"/>
      <c r="H105" s="311"/>
      <c r="I105" s="320"/>
      <c r="J105" s="320"/>
      <c r="K105" s="409"/>
      <c r="L105" s="409"/>
      <c r="M105" s="323"/>
      <c r="N105" s="323"/>
      <c r="O105" s="313"/>
      <c r="P105" s="313"/>
      <c r="Q105" s="323"/>
      <c r="R105" s="323"/>
      <c r="S105" s="313"/>
      <c r="T105" s="313"/>
      <c r="U105" s="131">
        <f t="shared" si="36"/>
        <v>0</v>
      </c>
      <c r="V105" s="131">
        <f t="shared" si="37"/>
        <v>0</v>
      </c>
    </row>
    <row r="106" spans="1:242" s="80" customFormat="1" ht="31.5" x14ac:dyDescent="0.25">
      <c r="A106" s="78" t="s">
        <v>1156</v>
      </c>
      <c r="B106" s="79" t="s">
        <v>22</v>
      </c>
      <c r="C106" s="79" t="s">
        <v>31</v>
      </c>
      <c r="D106" s="79" t="s">
        <v>20</v>
      </c>
      <c r="E106" s="79" t="s">
        <v>378</v>
      </c>
      <c r="F106" s="79" t="s">
        <v>9</v>
      </c>
      <c r="G106" s="316">
        <f t="shared" ref="G106:T106" si="46">G107+G108</f>
        <v>0</v>
      </c>
      <c r="H106" s="316">
        <f t="shared" si="46"/>
        <v>621.6</v>
      </c>
      <c r="I106" s="338">
        <f t="shared" si="46"/>
        <v>0</v>
      </c>
      <c r="J106" s="338">
        <f t="shared" si="46"/>
        <v>621.6</v>
      </c>
      <c r="K106" s="408">
        <f t="shared" si="46"/>
        <v>0</v>
      </c>
      <c r="L106" s="408">
        <f t="shared" si="46"/>
        <v>0</v>
      </c>
      <c r="M106" s="322">
        <f t="shared" si="46"/>
        <v>0</v>
      </c>
      <c r="N106" s="322">
        <f t="shared" si="46"/>
        <v>0</v>
      </c>
      <c r="O106" s="312">
        <f t="shared" si="46"/>
        <v>0</v>
      </c>
      <c r="P106" s="312">
        <f t="shared" si="46"/>
        <v>0</v>
      </c>
      <c r="Q106" s="322">
        <f t="shared" si="46"/>
        <v>0</v>
      </c>
      <c r="R106" s="322">
        <f t="shared" si="46"/>
        <v>0</v>
      </c>
      <c r="S106" s="312">
        <f t="shared" si="46"/>
        <v>0</v>
      </c>
      <c r="T106" s="312">
        <f t="shared" si="46"/>
        <v>0</v>
      </c>
      <c r="U106" s="132">
        <f t="shared" si="36"/>
        <v>621.6</v>
      </c>
      <c r="V106" s="132">
        <f t="shared" si="37"/>
        <v>621.6</v>
      </c>
    </row>
    <row r="107" spans="1:242" s="77" customFormat="1" ht="31.5" customHeight="1" outlineLevel="1" x14ac:dyDescent="0.25">
      <c r="A107" s="74" t="s">
        <v>124</v>
      </c>
      <c r="B107" s="75" t="s">
        <v>22</v>
      </c>
      <c r="C107" s="75" t="s">
        <v>31</v>
      </c>
      <c r="D107" s="75" t="s">
        <v>20</v>
      </c>
      <c r="E107" s="75" t="s">
        <v>378</v>
      </c>
      <c r="F107" s="75" t="s">
        <v>117</v>
      </c>
      <c r="G107" s="311"/>
      <c r="H107" s="311"/>
      <c r="I107" s="320"/>
      <c r="J107" s="320"/>
      <c r="K107" s="409"/>
      <c r="L107" s="409"/>
      <c r="M107" s="323"/>
      <c r="N107" s="323"/>
      <c r="O107" s="313"/>
      <c r="P107" s="313"/>
      <c r="Q107" s="323"/>
      <c r="R107" s="323"/>
      <c r="S107" s="313"/>
      <c r="T107" s="313"/>
      <c r="U107" s="131">
        <f t="shared" si="36"/>
        <v>0</v>
      </c>
      <c r="V107" s="131">
        <f t="shared" si="37"/>
        <v>0</v>
      </c>
    </row>
    <row r="108" spans="1:242" s="77" customFormat="1" ht="31.5" x14ac:dyDescent="0.25">
      <c r="A108" s="74" t="s">
        <v>843</v>
      </c>
      <c r="B108" s="75" t="s">
        <v>22</v>
      </c>
      <c r="C108" s="75" t="s">
        <v>31</v>
      </c>
      <c r="D108" s="75" t="s">
        <v>20</v>
      </c>
      <c r="E108" s="75" t="s">
        <v>378</v>
      </c>
      <c r="F108" s="75" t="s">
        <v>490</v>
      </c>
      <c r="G108" s="311"/>
      <c r="H108" s="311">
        <v>621.6</v>
      </c>
      <c r="I108" s="320"/>
      <c r="J108" s="320">
        <v>621.6</v>
      </c>
      <c r="K108" s="409"/>
      <c r="L108" s="409"/>
      <c r="M108" s="323"/>
      <c r="N108" s="323"/>
      <c r="O108" s="313"/>
      <c r="P108" s="313"/>
      <c r="Q108" s="323"/>
      <c r="R108" s="323"/>
      <c r="S108" s="313"/>
      <c r="T108" s="313"/>
      <c r="U108" s="131">
        <f t="shared" si="36"/>
        <v>621.6</v>
      </c>
      <c r="V108" s="131">
        <f t="shared" si="37"/>
        <v>621.6</v>
      </c>
    </row>
    <row r="109" spans="1:242" s="80" customFormat="1" ht="15.75" customHeight="1" outlineLevel="1" x14ac:dyDescent="0.25">
      <c r="A109" s="78" t="s">
        <v>805</v>
      </c>
      <c r="B109" s="79" t="s">
        <v>22</v>
      </c>
      <c r="C109" s="79" t="s">
        <v>31</v>
      </c>
      <c r="D109" s="79" t="s">
        <v>20</v>
      </c>
      <c r="E109" s="79" t="s">
        <v>802</v>
      </c>
      <c r="F109" s="79" t="s">
        <v>9</v>
      </c>
      <c r="G109" s="316">
        <f t="shared" ref="G109:T111" si="47">G110</f>
        <v>0</v>
      </c>
      <c r="H109" s="316">
        <f t="shared" si="47"/>
        <v>0</v>
      </c>
      <c r="I109" s="338">
        <f t="shared" si="47"/>
        <v>0</v>
      </c>
      <c r="J109" s="338">
        <f t="shared" si="47"/>
        <v>0</v>
      </c>
      <c r="K109" s="408">
        <f t="shared" si="47"/>
        <v>0</v>
      </c>
      <c r="L109" s="408">
        <f t="shared" si="47"/>
        <v>0</v>
      </c>
      <c r="M109" s="322">
        <f t="shared" si="47"/>
        <v>0</v>
      </c>
      <c r="N109" s="322">
        <f t="shared" si="47"/>
        <v>0</v>
      </c>
      <c r="O109" s="312">
        <f t="shared" si="47"/>
        <v>0</v>
      </c>
      <c r="P109" s="312">
        <f t="shared" si="47"/>
        <v>0</v>
      </c>
      <c r="Q109" s="322">
        <f t="shared" si="47"/>
        <v>0</v>
      </c>
      <c r="R109" s="322">
        <f t="shared" si="47"/>
        <v>0</v>
      </c>
      <c r="S109" s="312">
        <f t="shared" si="47"/>
        <v>0</v>
      </c>
      <c r="T109" s="312">
        <f t="shared" si="47"/>
        <v>0</v>
      </c>
      <c r="U109" s="132">
        <f t="shared" si="36"/>
        <v>0</v>
      </c>
      <c r="V109" s="132">
        <f t="shared" si="37"/>
        <v>0</v>
      </c>
    </row>
    <row r="110" spans="1:242" s="77" customFormat="1" ht="15.75" customHeight="1" outlineLevel="1" x14ac:dyDescent="0.25">
      <c r="A110" s="78" t="s">
        <v>804</v>
      </c>
      <c r="B110" s="79" t="s">
        <v>22</v>
      </c>
      <c r="C110" s="79" t="s">
        <v>31</v>
      </c>
      <c r="D110" s="79" t="s">
        <v>20</v>
      </c>
      <c r="E110" s="79" t="s">
        <v>803</v>
      </c>
      <c r="F110" s="79" t="s">
        <v>9</v>
      </c>
      <c r="G110" s="316">
        <f t="shared" si="47"/>
        <v>0</v>
      </c>
      <c r="H110" s="316">
        <f t="shared" si="47"/>
        <v>0</v>
      </c>
      <c r="I110" s="338">
        <f t="shared" si="47"/>
        <v>0</v>
      </c>
      <c r="J110" s="338">
        <f t="shared" si="47"/>
        <v>0</v>
      </c>
      <c r="K110" s="408">
        <f t="shared" si="47"/>
        <v>0</v>
      </c>
      <c r="L110" s="408">
        <f t="shared" si="47"/>
        <v>0</v>
      </c>
      <c r="M110" s="322">
        <f t="shared" si="47"/>
        <v>0</v>
      </c>
      <c r="N110" s="322">
        <f t="shared" si="47"/>
        <v>0</v>
      </c>
      <c r="O110" s="312">
        <f t="shared" si="47"/>
        <v>0</v>
      </c>
      <c r="P110" s="312">
        <f t="shared" si="47"/>
        <v>0</v>
      </c>
      <c r="Q110" s="322">
        <f t="shared" si="47"/>
        <v>0</v>
      </c>
      <c r="R110" s="322">
        <f t="shared" si="47"/>
        <v>0</v>
      </c>
      <c r="S110" s="312">
        <f t="shared" si="47"/>
        <v>0</v>
      </c>
      <c r="T110" s="312">
        <f t="shared" si="47"/>
        <v>0</v>
      </c>
      <c r="U110" s="132">
        <f t="shared" si="36"/>
        <v>0</v>
      </c>
      <c r="V110" s="132">
        <f t="shared" si="37"/>
        <v>0</v>
      </c>
      <c r="W110" s="80"/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N110" s="80"/>
      <c r="AO110" s="80"/>
      <c r="AP110" s="80"/>
      <c r="AQ110" s="80"/>
      <c r="AR110" s="80"/>
      <c r="AS110" s="80"/>
      <c r="AT110" s="80"/>
      <c r="AU110" s="80"/>
      <c r="AV110" s="80"/>
      <c r="AW110" s="80"/>
      <c r="AX110" s="80"/>
      <c r="AY110" s="80"/>
      <c r="AZ110" s="80"/>
      <c r="BA110" s="80"/>
      <c r="BB110" s="80"/>
      <c r="BC110" s="80"/>
      <c r="BD110" s="80"/>
      <c r="BE110" s="80"/>
      <c r="BF110" s="80"/>
      <c r="BG110" s="80"/>
      <c r="BH110" s="80"/>
      <c r="BI110" s="80"/>
      <c r="BJ110" s="80"/>
      <c r="BK110" s="80"/>
      <c r="BL110" s="80"/>
      <c r="BM110" s="80"/>
      <c r="BN110" s="80"/>
      <c r="BO110" s="80"/>
      <c r="BP110" s="80"/>
      <c r="BQ110" s="80"/>
      <c r="BR110" s="80"/>
      <c r="BS110" s="80"/>
      <c r="BT110" s="80"/>
      <c r="BU110" s="80"/>
      <c r="BV110" s="80"/>
      <c r="BW110" s="80"/>
      <c r="BX110" s="80"/>
      <c r="BY110" s="80"/>
      <c r="BZ110" s="80"/>
      <c r="CA110" s="80"/>
      <c r="CB110" s="80"/>
      <c r="CC110" s="80"/>
      <c r="CD110" s="80"/>
      <c r="CE110" s="80"/>
      <c r="CF110" s="80"/>
      <c r="CG110" s="80"/>
      <c r="CH110" s="80"/>
      <c r="CI110" s="80"/>
      <c r="CJ110" s="80"/>
      <c r="CK110" s="80"/>
      <c r="CL110" s="80"/>
      <c r="CM110" s="80"/>
      <c r="CN110" s="80"/>
      <c r="CO110" s="80"/>
      <c r="CP110" s="80"/>
      <c r="CQ110" s="80"/>
      <c r="CR110" s="80"/>
      <c r="CS110" s="80"/>
      <c r="CT110" s="80"/>
      <c r="CU110" s="80"/>
      <c r="CV110" s="80"/>
      <c r="CW110" s="80"/>
      <c r="CX110" s="80"/>
      <c r="CY110" s="80"/>
      <c r="CZ110" s="80"/>
      <c r="DA110" s="80"/>
      <c r="DB110" s="80"/>
      <c r="DC110" s="80"/>
      <c r="DD110" s="80"/>
      <c r="DE110" s="80"/>
      <c r="DF110" s="80"/>
      <c r="DG110" s="80"/>
      <c r="DH110" s="80"/>
      <c r="DI110" s="80"/>
      <c r="DJ110" s="80"/>
      <c r="DK110" s="80"/>
      <c r="DL110" s="80"/>
      <c r="DM110" s="80"/>
      <c r="DN110" s="80"/>
      <c r="DO110" s="80"/>
      <c r="DP110" s="80"/>
      <c r="DQ110" s="80"/>
      <c r="DR110" s="80"/>
      <c r="DS110" s="80"/>
      <c r="DT110" s="80"/>
      <c r="DU110" s="80"/>
      <c r="DV110" s="80"/>
      <c r="DW110" s="80"/>
      <c r="DX110" s="80"/>
      <c r="DY110" s="80"/>
      <c r="DZ110" s="80"/>
      <c r="EA110" s="80"/>
      <c r="EB110" s="80"/>
      <c r="EC110" s="80"/>
      <c r="ED110" s="80"/>
      <c r="EE110" s="80"/>
      <c r="EF110" s="80"/>
      <c r="EG110" s="80"/>
      <c r="EH110" s="80"/>
      <c r="EI110" s="80"/>
      <c r="EJ110" s="80"/>
      <c r="EK110" s="80"/>
      <c r="EL110" s="80"/>
      <c r="EM110" s="80"/>
      <c r="EN110" s="80"/>
      <c r="EO110" s="80"/>
      <c r="EP110" s="80"/>
      <c r="EQ110" s="80"/>
      <c r="ER110" s="80"/>
      <c r="ES110" s="80"/>
      <c r="ET110" s="80"/>
      <c r="EU110" s="80"/>
      <c r="EV110" s="80"/>
      <c r="EW110" s="80"/>
      <c r="EX110" s="80"/>
      <c r="EY110" s="80"/>
      <c r="EZ110" s="80"/>
      <c r="FA110" s="80"/>
      <c r="FB110" s="80"/>
      <c r="FC110" s="80"/>
      <c r="FD110" s="80"/>
      <c r="FE110" s="80"/>
      <c r="FF110" s="80"/>
      <c r="FG110" s="80"/>
      <c r="FH110" s="80"/>
      <c r="FI110" s="80"/>
      <c r="FJ110" s="80"/>
      <c r="FK110" s="80"/>
      <c r="FL110" s="80"/>
      <c r="FM110" s="80"/>
      <c r="FN110" s="80"/>
      <c r="FO110" s="80"/>
      <c r="FP110" s="80"/>
      <c r="FQ110" s="80"/>
      <c r="FR110" s="80"/>
      <c r="FS110" s="80"/>
      <c r="FT110" s="80"/>
      <c r="FU110" s="80"/>
      <c r="FV110" s="80"/>
      <c r="FW110" s="80"/>
      <c r="FX110" s="80"/>
      <c r="FY110" s="80"/>
      <c r="FZ110" s="80"/>
      <c r="GA110" s="80"/>
      <c r="GB110" s="80"/>
      <c r="GC110" s="80"/>
      <c r="GD110" s="80"/>
      <c r="GE110" s="80"/>
      <c r="GF110" s="80"/>
      <c r="GG110" s="80"/>
      <c r="GH110" s="80"/>
      <c r="GI110" s="80"/>
      <c r="GJ110" s="80"/>
      <c r="GK110" s="80"/>
      <c r="GL110" s="80"/>
      <c r="GM110" s="80"/>
      <c r="GN110" s="80"/>
      <c r="GO110" s="80"/>
      <c r="GP110" s="80"/>
      <c r="GQ110" s="80"/>
      <c r="GR110" s="80"/>
      <c r="GS110" s="80"/>
      <c r="GT110" s="80"/>
      <c r="GU110" s="80"/>
      <c r="GV110" s="80"/>
      <c r="GW110" s="80"/>
      <c r="GX110" s="80"/>
      <c r="GY110" s="80"/>
      <c r="GZ110" s="80"/>
      <c r="HA110" s="80"/>
      <c r="HB110" s="80"/>
      <c r="HC110" s="80"/>
      <c r="HD110" s="80"/>
      <c r="HE110" s="80"/>
      <c r="HF110" s="80"/>
      <c r="HG110" s="80"/>
      <c r="HH110" s="80"/>
      <c r="HI110" s="80"/>
      <c r="HJ110" s="80"/>
      <c r="HK110" s="80"/>
      <c r="HL110" s="80"/>
      <c r="HM110" s="80"/>
      <c r="HN110" s="80"/>
      <c r="HO110" s="80"/>
      <c r="HP110" s="80"/>
      <c r="HQ110" s="80"/>
      <c r="HR110" s="80"/>
      <c r="HS110" s="80"/>
      <c r="HT110" s="80"/>
      <c r="HU110" s="80"/>
      <c r="HV110" s="80"/>
      <c r="HW110" s="80"/>
      <c r="HX110" s="80"/>
      <c r="HY110" s="80"/>
      <c r="HZ110" s="80"/>
      <c r="IA110" s="80"/>
      <c r="IB110" s="80"/>
      <c r="IC110" s="80"/>
      <c r="ID110" s="80"/>
      <c r="IE110" s="80"/>
      <c r="IF110" s="80"/>
      <c r="IG110" s="80"/>
      <c r="IH110" s="80"/>
    </row>
    <row r="111" spans="1:242" s="80" customFormat="1" ht="47.25" customHeight="1" outlineLevel="1" x14ac:dyDescent="0.25">
      <c r="A111" s="78" t="s">
        <v>811</v>
      </c>
      <c r="B111" s="79" t="s">
        <v>22</v>
      </c>
      <c r="C111" s="79" t="s">
        <v>31</v>
      </c>
      <c r="D111" s="79" t="s">
        <v>20</v>
      </c>
      <c r="E111" s="79" t="s">
        <v>810</v>
      </c>
      <c r="F111" s="79" t="s">
        <v>9</v>
      </c>
      <c r="G111" s="316">
        <f t="shared" si="47"/>
        <v>0</v>
      </c>
      <c r="H111" s="316">
        <f t="shared" si="47"/>
        <v>0</v>
      </c>
      <c r="I111" s="338">
        <f t="shared" si="47"/>
        <v>0</v>
      </c>
      <c r="J111" s="338">
        <f t="shared" si="47"/>
        <v>0</v>
      </c>
      <c r="K111" s="408">
        <f t="shared" si="47"/>
        <v>0</v>
      </c>
      <c r="L111" s="408">
        <f t="shared" si="47"/>
        <v>0</v>
      </c>
      <c r="M111" s="322">
        <f t="shared" si="47"/>
        <v>0</v>
      </c>
      <c r="N111" s="322">
        <f t="shared" si="47"/>
        <v>0</v>
      </c>
      <c r="O111" s="312">
        <f t="shared" si="47"/>
        <v>0</v>
      </c>
      <c r="P111" s="312">
        <f t="shared" si="47"/>
        <v>0</v>
      </c>
      <c r="Q111" s="322">
        <f t="shared" si="47"/>
        <v>0</v>
      </c>
      <c r="R111" s="322">
        <f t="shared" si="47"/>
        <v>0</v>
      </c>
      <c r="S111" s="312">
        <f t="shared" si="47"/>
        <v>0</v>
      </c>
      <c r="T111" s="312">
        <f t="shared" si="47"/>
        <v>0</v>
      </c>
      <c r="U111" s="132">
        <f t="shared" si="36"/>
        <v>0</v>
      </c>
      <c r="V111" s="132">
        <f t="shared" si="37"/>
        <v>0</v>
      </c>
    </row>
    <row r="112" spans="1:242" s="77" customFormat="1" ht="31.5" customHeight="1" outlineLevel="1" x14ac:dyDescent="0.25">
      <c r="A112" s="74" t="s">
        <v>124</v>
      </c>
      <c r="B112" s="75" t="s">
        <v>22</v>
      </c>
      <c r="C112" s="75" t="s">
        <v>31</v>
      </c>
      <c r="D112" s="75" t="s">
        <v>20</v>
      </c>
      <c r="E112" s="75" t="s">
        <v>810</v>
      </c>
      <c r="F112" s="75" t="s">
        <v>117</v>
      </c>
      <c r="G112" s="311"/>
      <c r="H112" s="311"/>
      <c r="I112" s="320"/>
      <c r="J112" s="320"/>
      <c r="K112" s="409"/>
      <c r="L112" s="409"/>
      <c r="M112" s="323"/>
      <c r="N112" s="323"/>
      <c r="O112" s="313"/>
      <c r="P112" s="313"/>
      <c r="Q112" s="323"/>
      <c r="R112" s="323"/>
      <c r="S112" s="313"/>
      <c r="T112" s="313"/>
      <c r="U112" s="131">
        <f t="shared" si="36"/>
        <v>0</v>
      </c>
      <c r="V112" s="131">
        <f t="shared" si="37"/>
        <v>0</v>
      </c>
    </row>
    <row r="113" spans="1:22" s="80" customFormat="1" ht="15.75" customHeight="1" x14ac:dyDescent="0.25">
      <c r="A113" s="78" t="s">
        <v>40</v>
      </c>
      <c r="B113" s="79" t="s">
        <v>22</v>
      </c>
      <c r="C113" s="79" t="s">
        <v>31</v>
      </c>
      <c r="D113" s="79" t="s">
        <v>31</v>
      </c>
      <c r="E113" s="79" t="s">
        <v>365</v>
      </c>
      <c r="F113" s="79" t="s">
        <v>9</v>
      </c>
      <c r="G113" s="316">
        <f t="shared" ref="G113:T113" si="48">G114</f>
        <v>0</v>
      </c>
      <c r="H113" s="316">
        <f t="shared" si="48"/>
        <v>0</v>
      </c>
      <c r="I113" s="338">
        <f t="shared" si="48"/>
        <v>0</v>
      </c>
      <c r="J113" s="338">
        <f t="shared" si="48"/>
        <v>0</v>
      </c>
      <c r="K113" s="408">
        <f t="shared" si="48"/>
        <v>0</v>
      </c>
      <c r="L113" s="408">
        <f t="shared" si="48"/>
        <v>0</v>
      </c>
      <c r="M113" s="322">
        <f t="shared" si="48"/>
        <v>0</v>
      </c>
      <c r="N113" s="322">
        <f t="shared" si="48"/>
        <v>0</v>
      </c>
      <c r="O113" s="312">
        <f t="shared" si="48"/>
        <v>0</v>
      </c>
      <c r="P113" s="312">
        <f t="shared" si="48"/>
        <v>0</v>
      </c>
      <c r="Q113" s="322">
        <f t="shared" si="48"/>
        <v>0</v>
      </c>
      <c r="R113" s="322">
        <f t="shared" si="48"/>
        <v>0</v>
      </c>
      <c r="S113" s="312">
        <f t="shared" si="48"/>
        <v>0</v>
      </c>
      <c r="T113" s="312">
        <f t="shared" si="48"/>
        <v>0</v>
      </c>
      <c r="U113" s="132">
        <f t="shared" si="36"/>
        <v>0</v>
      </c>
      <c r="V113" s="132">
        <f t="shared" si="37"/>
        <v>0</v>
      </c>
    </row>
    <row r="114" spans="1:22" s="80" customFormat="1" ht="31.5" customHeight="1" x14ac:dyDescent="0.25">
      <c r="A114" s="78" t="s">
        <v>783</v>
      </c>
      <c r="B114" s="79" t="s">
        <v>22</v>
      </c>
      <c r="C114" s="79" t="s">
        <v>31</v>
      </c>
      <c r="D114" s="79" t="s">
        <v>31</v>
      </c>
      <c r="E114" s="79" t="s">
        <v>366</v>
      </c>
      <c r="F114" s="79" t="s">
        <v>9</v>
      </c>
      <c r="G114" s="316">
        <f t="shared" ref="G114:O114" si="49">G115+G118</f>
        <v>0</v>
      </c>
      <c r="H114" s="316">
        <f>H115+H118</f>
        <v>0</v>
      </c>
      <c r="I114" s="338">
        <f t="shared" si="49"/>
        <v>0</v>
      </c>
      <c r="J114" s="338">
        <f>J115+J118</f>
        <v>0</v>
      </c>
      <c r="K114" s="408">
        <f t="shared" si="49"/>
        <v>0</v>
      </c>
      <c r="L114" s="408">
        <f t="shared" si="49"/>
        <v>0</v>
      </c>
      <c r="M114" s="322">
        <f t="shared" si="49"/>
        <v>0</v>
      </c>
      <c r="N114" s="322">
        <f t="shared" si="49"/>
        <v>0</v>
      </c>
      <c r="O114" s="312">
        <f t="shared" si="49"/>
        <v>0</v>
      </c>
      <c r="P114" s="312">
        <f>P115+P118</f>
        <v>0</v>
      </c>
      <c r="Q114" s="322">
        <f>Q115+Q118</f>
        <v>0</v>
      </c>
      <c r="R114" s="322">
        <f>R115+R118</f>
        <v>0</v>
      </c>
      <c r="S114" s="312">
        <f>S115+S118</f>
        <v>0</v>
      </c>
      <c r="T114" s="312">
        <f>T115+T118</f>
        <v>0</v>
      </c>
      <c r="U114" s="132">
        <f t="shared" si="36"/>
        <v>0</v>
      </c>
      <c r="V114" s="132">
        <f t="shared" si="37"/>
        <v>0</v>
      </c>
    </row>
    <row r="115" spans="1:22" s="80" customFormat="1" ht="47.25" customHeight="1" x14ac:dyDescent="0.25">
      <c r="A115" s="78" t="s">
        <v>41</v>
      </c>
      <c r="B115" s="79" t="s">
        <v>22</v>
      </c>
      <c r="C115" s="79" t="s">
        <v>31</v>
      </c>
      <c r="D115" s="79" t="s">
        <v>31</v>
      </c>
      <c r="E115" s="79" t="s">
        <v>383</v>
      </c>
      <c r="F115" s="79" t="s">
        <v>9</v>
      </c>
      <c r="G115" s="316">
        <f t="shared" ref="G115:T116" si="50">G116</f>
        <v>0</v>
      </c>
      <c r="H115" s="316">
        <f t="shared" si="50"/>
        <v>0</v>
      </c>
      <c r="I115" s="338">
        <f t="shared" si="50"/>
        <v>0</v>
      </c>
      <c r="J115" s="338">
        <f t="shared" si="50"/>
        <v>0</v>
      </c>
      <c r="K115" s="408">
        <f t="shared" si="50"/>
        <v>0</v>
      </c>
      <c r="L115" s="408">
        <f t="shared" si="50"/>
        <v>0</v>
      </c>
      <c r="M115" s="322">
        <f t="shared" si="50"/>
        <v>0</v>
      </c>
      <c r="N115" s="322">
        <f t="shared" si="50"/>
        <v>0</v>
      </c>
      <c r="O115" s="312">
        <f t="shared" si="50"/>
        <v>0</v>
      </c>
      <c r="P115" s="312">
        <f t="shared" si="50"/>
        <v>0</v>
      </c>
      <c r="Q115" s="322">
        <f t="shared" si="50"/>
        <v>0</v>
      </c>
      <c r="R115" s="322">
        <f t="shared" si="50"/>
        <v>0</v>
      </c>
      <c r="S115" s="312">
        <f t="shared" si="50"/>
        <v>0</v>
      </c>
      <c r="T115" s="312">
        <f t="shared" si="50"/>
        <v>0</v>
      </c>
      <c r="U115" s="132">
        <f t="shared" si="36"/>
        <v>0</v>
      </c>
      <c r="V115" s="132">
        <f t="shared" si="37"/>
        <v>0</v>
      </c>
    </row>
    <row r="116" spans="1:22" s="80" customFormat="1" ht="63" customHeight="1" x14ac:dyDescent="0.25">
      <c r="A116" s="78" t="s">
        <v>646</v>
      </c>
      <c r="B116" s="79" t="s">
        <v>22</v>
      </c>
      <c r="C116" s="79" t="s">
        <v>31</v>
      </c>
      <c r="D116" s="79" t="s">
        <v>31</v>
      </c>
      <c r="E116" s="79" t="s">
        <v>384</v>
      </c>
      <c r="F116" s="79" t="s">
        <v>9</v>
      </c>
      <c r="G116" s="316">
        <f t="shared" si="50"/>
        <v>0</v>
      </c>
      <c r="H116" s="316">
        <f t="shared" si="50"/>
        <v>0</v>
      </c>
      <c r="I116" s="338">
        <f t="shared" si="50"/>
        <v>0</v>
      </c>
      <c r="J116" s="338">
        <f t="shared" si="50"/>
        <v>0</v>
      </c>
      <c r="K116" s="408">
        <f t="shared" si="50"/>
        <v>0</v>
      </c>
      <c r="L116" s="408">
        <f t="shared" si="50"/>
        <v>0</v>
      </c>
      <c r="M116" s="322">
        <f t="shared" si="50"/>
        <v>0</v>
      </c>
      <c r="N116" s="322">
        <f t="shared" si="50"/>
        <v>0</v>
      </c>
      <c r="O116" s="312">
        <f t="shared" si="50"/>
        <v>0</v>
      </c>
      <c r="P116" s="312">
        <f t="shared" si="50"/>
        <v>0</v>
      </c>
      <c r="Q116" s="322">
        <f t="shared" si="50"/>
        <v>0</v>
      </c>
      <c r="R116" s="322">
        <f t="shared" si="50"/>
        <v>0</v>
      </c>
      <c r="S116" s="312">
        <f t="shared" si="50"/>
        <v>0</v>
      </c>
      <c r="T116" s="312">
        <f t="shared" si="50"/>
        <v>0</v>
      </c>
      <c r="U116" s="132">
        <f t="shared" si="36"/>
        <v>0</v>
      </c>
      <c r="V116" s="132">
        <f t="shared" si="37"/>
        <v>0</v>
      </c>
    </row>
    <row r="117" spans="1:22" s="77" customFormat="1" ht="31.5" customHeight="1" x14ac:dyDescent="0.25">
      <c r="A117" s="74" t="s">
        <v>124</v>
      </c>
      <c r="B117" s="75" t="s">
        <v>22</v>
      </c>
      <c r="C117" s="75" t="s">
        <v>31</v>
      </c>
      <c r="D117" s="75" t="s">
        <v>31</v>
      </c>
      <c r="E117" s="75" t="s">
        <v>384</v>
      </c>
      <c r="F117" s="75" t="s">
        <v>117</v>
      </c>
      <c r="G117" s="311"/>
      <c r="H117" s="311"/>
      <c r="I117" s="320"/>
      <c r="J117" s="320"/>
      <c r="K117" s="409"/>
      <c r="L117" s="409"/>
      <c r="M117" s="323"/>
      <c r="N117" s="323"/>
      <c r="O117" s="313"/>
      <c r="P117" s="313"/>
      <c r="Q117" s="323"/>
      <c r="R117" s="323"/>
      <c r="S117" s="313"/>
      <c r="T117" s="313"/>
      <c r="U117" s="131">
        <f t="shared" si="36"/>
        <v>0</v>
      </c>
      <c r="V117" s="131">
        <f t="shared" si="37"/>
        <v>0</v>
      </c>
    </row>
    <row r="118" spans="1:22" s="80" customFormat="1" ht="63" customHeight="1" x14ac:dyDescent="0.25">
      <c r="A118" s="78" t="s">
        <v>646</v>
      </c>
      <c r="B118" s="79" t="s">
        <v>22</v>
      </c>
      <c r="C118" s="79" t="s">
        <v>31</v>
      </c>
      <c r="D118" s="79" t="s">
        <v>31</v>
      </c>
      <c r="E118" s="79" t="s">
        <v>491</v>
      </c>
      <c r="F118" s="79" t="s">
        <v>9</v>
      </c>
      <c r="G118" s="316">
        <f t="shared" ref="G118:T118" si="51">G119</f>
        <v>0</v>
      </c>
      <c r="H118" s="316">
        <f t="shared" si="51"/>
        <v>0</v>
      </c>
      <c r="I118" s="338">
        <f t="shared" si="51"/>
        <v>0</v>
      </c>
      <c r="J118" s="338">
        <f t="shared" si="51"/>
        <v>0</v>
      </c>
      <c r="K118" s="408">
        <f t="shared" si="51"/>
        <v>0</v>
      </c>
      <c r="L118" s="408">
        <f t="shared" si="51"/>
        <v>0</v>
      </c>
      <c r="M118" s="322">
        <f t="shared" si="51"/>
        <v>0</v>
      </c>
      <c r="N118" s="322">
        <f t="shared" si="51"/>
        <v>0</v>
      </c>
      <c r="O118" s="312">
        <f t="shared" si="51"/>
        <v>0</v>
      </c>
      <c r="P118" s="312">
        <f t="shared" si="51"/>
        <v>0</v>
      </c>
      <c r="Q118" s="322">
        <f t="shared" si="51"/>
        <v>0</v>
      </c>
      <c r="R118" s="322">
        <f t="shared" si="51"/>
        <v>0</v>
      </c>
      <c r="S118" s="312">
        <f t="shared" si="51"/>
        <v>0</v>
      </c>
      <c r="T118" s="312">
        <f t="shared" si="51"/>
        <v>0</v>
      </c>
      <c r="U118" s="132">
        <f t="shared" si="36"/>
        <v>0</v>
      </c>
      <c r="V118" s="132">
        <f t="shared" si="37"/>
        <v>0</v>
      </c>
    </row>
    <row r="119" spans="1:22" s="77" customFormat="1" ht="31.5" customHeight="1" x14ac:dyDescent="0.25">
      <c r="A119" s="264" t="s">
        <v>124</v>
      </c>
      <c r="B119" s="265" t="s">
        <v>22</v>
      </c>
      <c r="C119" s="265" t="s">
        <v>31</v>
      </c>
      <c r="D119" s="265" t="s">
        <v>31</v>
      </c>
      <c r="E119" s="265" t="s">
        <v>491</v>
      </c>
      <c r="F119" s="265" t="s">
        <v>117</v>
      </c>
      <c r="G119" s="311"/>
      <c r="H119" s="311"/>
      <c r="I119" s="320"/>
      <c r="J119" s="320"/>
      <c r="K119" s="409"/>
      <c r="L119" s="409"/>
      <c r="M119" s="323"/>
      <c r="N119" s="323"/>
      <c r="O119" s="313"/>
      <c r="P119" s="313"/>
      <c r="Q119" s="323"/>
      <c r="R119" s="323"/>
      <c r="S119" s="313"/>
      <c r="T119" s="313"/>
      <c r="U119" s="131">
        <f t="shared" si="36"/>
        <v>0</v>
      </c>
      <c r="V119" s="131">
        <f t="shared" si="37"/>
        <v>0</v>
      </c>
    </row>
    <row r="120" spans="1:22" s="80" customFormat="1" x14ac:dyDescent="0.25">
      <c r="A120" s="78" t="s">
        <v>43</v>
      </c>
      <c r="B120" s="79" t="s">
        <v>22</v>
      </c>
      <c r="C120" s="79" t="s">
        <v>31</v>
      </c>
      <c r="D120" s="79" t="s">
        <v>44</v>
      </c>
      <c r="E120" s="79" t="s">
        <v>365</v>
      </c>
      <c r="F120" s="79" t="s">
        <v>9</v>
      </c>
      <c r="G120" s="316">
        <f t="shared" ref="G120:T120" si="52">G121</f>
        <v>855.3</v>
      </c>
      <c r="H120" s="316">
        <f t="shared" si="52"/>
        <v>10619.6</v>
      </c>
      <c r="I120" s="338">
        <f t="shared" si="52"/>
        <v>855.3</v>
      </c>
      <c r="J120" s="338">
        <f t="shared" si="52"/>
        <v>11153.8</v>
      </c>
      <c r="K120" s="408">
        <f t="shared" si="52"/>
        <v>0</v>
      </c>
      <c r="L120" s="408">
        <f t="shared" si="52"/>
        <v>0</v>
      </c>
      <c r="M120" s="322">
        <f t="shared" si="52"/>
        <v>0</v>
      </c>
      <c r="N120" s="322">
        <f t="shared" si="52"/>
        <v>0</v>
      </c>
      <c r="O120" s="312">
        <f t="shared" si="52"/>
        <v>0</v>
      </c>
      <c r="P120" s="312">
        <f t="shared" si="52"/>
        <v>0</v>
      </c>
      <c r="Q120" s="322">
        <f t="shared" si="52"/>
        <v>0</v>
      </c>
      <c r="R120" s="322">
        <f t="shared" si="52"/>
        <v>0</v>
      </c>
      <c r="S120" s="312">
        <f t="shared" si="52"/>
        <v>0</v>
      </c>
      <c r="T120" s="312">
        <f t="shared" si="52"/>
        <v>0</v>
      </c>
      <c r="U120" s="132">
        <f t="shared" si="36"/>
        <v>11474.9</v>
      </c>
      <c r="V120" s="132">
        <f t="shared" si="37"/>
        <v>12009.099999999999</v>
      </c>
    </row>
    <row r="121" spans="1:22" s="80" customFormat="1" ht="31.5" x14ac:dyDescent="0.25">
      <c r="A121" s="78" t="s">
        <v>783</v>
      </c>
      <c r="B121" s="79" t="s">
        <v>22</v>
      </c>
      <c r="C121" s="79" t="s">
        <v>31</v>
      </c>
      <c r="D121" s="79" t="s">
        <v>44</v>
      </c>
      <c r="E121" s="79" t="s">
        <v>366</v>
      </c>
      <c r="F121" s="79" t="s">
        <v>9</v>
      </c>
      <c r="G121" s="316">
        <f>G122+G135+G130+G133</f>
        <v>855.3</v>
      </c>
      <c r="H121" s="316">
        <f t="shared" ref="H121:T121" si="53">H122+H135+H130+H133</f>
        <v>10619.6</v>
      </c>
      <c r="I121" s="338">
        <f t="shared" si="53"/>
        <v>855.3</v>
      </c>
      <c r="J121" s="338">
        <f t="shared" si="53"/>
        <v>11153.8</v>
      </c>
      <c r="K121" s="408">
        <f t="shared" si="53"/>
        <v>0</v>
      </c>
      <c r="L121" s="408">
        <f t="shared" si="53"/>
        <v>0</v>
      </c>
      <c r="M121" s="322">
        <f t="shared" si="53"/>
        <v>0</v>
      </c>
      <c r="N121" s="322">
        <f t="shared" si="53"/>
        <v>0</v>
      </c>
      <c r="O121" s="312">
        <f t="shared" si="53"/>
        <v>0</v>
      </c>
      <c r="P121" s="312">
        <f t="shared" si="53"/>
        <v>0</v>
      </c>
      <c r="Q121" s="322">
        <f t="shared" si="53"/>
        <v>0</v>
      </c>
      <c r="R121" s="322">
        <f t="shared" si="53"/>
        <v>0</v>
      </c>
      <c r="S121" s="312">
        <f t="shared" si="53"/>
        <v>0</v>
      </c>
      <c r="T121" s="312">
        <f t="shared" si="53"/>
        <v>0</v>
      </c>
      <c r="U121" s="132">
        <f t="shared" si="36"/>
        <v>11474.9</v>
      </c>
      <c r="V121" s="132">
        <f t="shared" si="37"/>
        <v>12009.099999999999</v>
      </c>
    </row>
    <row r="122" spans="1:22" s="80" customFormat="1" ht="31.5" x14ac:dyDescent="0.25">
      <c r="A122" s="78" t="s">
        <v>564</v>
      </c>
      <c r="B122" s="79" t="s">
        <v>22</v>
      </c>
      <c r="C122" s="79" t="s">
        <v>31</v>
      </c>
      <c r="D122" s="79" t="s">
        <v>44</v>
      </c>
      <c r="E122" s="79" t="s">
        <v>367</v>
      </c>
      <c r="F122" s="79" t="s">
        <v>9</v>
      </c>
      <c r="G122" s="316">
        <f t="shared" ref="G122:O122" si="54">G127+G123</f>
        <v>0</v>
      </c>
      <c r="H122" s="316">
        <f>H127+H123</f>
        <v>10619.6</v>
      </c>
      <c r="I122" s="338">
        <f t="shared" si="54"/>
        <v>0</v>
      </c>
      <c r="J122" s="338">
        <f>J127+J123</f>
        <v>11153.8</v>
      </c>
      <c r="K122" s="408">
        <f t="shared" si="54"/>
        <v>0</v>
      </c>
      <c r="L122" s="408">
        <f t="shared" si="54"/>
        <v>0</v>
      </c>
      <c r="M122" s="322">
        <f t="shared" si="54"/>
        <v>0</v>
      </c>
      <c r="N122" s="322">
        <f t="shared" si="54"/>
        <v>0</v>
      </c>
      <c r="O122" s="312">
        <f t="shared" si="54"/>
        <v>0</v>
      </c>
      <c r="P122" s="312">
        <f>P127+P123</f>
        <v>0</v>
      </c>
      <c r="Q122" s="322">
        <f>Q127+Q123</f>
        <v>0</v>
      </c>
      <c r="R122" s="322">
        <f>R127+R123</f>
        <v>0</v>
      </c>
      <c r="S122" s="312">
        <f>S127+S123</f>
        <v>0</v>
      </c>
      <c r="T122" s="312">
        <f>T127+T123</f>
        <v>0</v>
      </c>
      <c r="U122" s="132">
        <f t="shared" si="36"/>
        <v>10619.6</v>
      </c>
      <c r="V122" s="132">
        <f t="shared" si="37"/>
        <v>11153.8</v>
      </c>
    </row>
    <row r="123" spans="1:22" s="80" customFormat="1" ht="31.5" x14ac:dyDescent="0.25">
      <c r="A123" s="78" t="s">
        <v>29</v>
      </c>
      <c r="B123" s="79" t="s">
        <v>22</v>
      </c>
      <c r="C123" s="79" t="s">
        <v>31</v>
      </c>
      <c r="D123" s="79" t="s">
        <v>44</v>
      </c>
      <c r="E123" s="79" t="s">
        <v>369</v>
      </c>
      <c r="F123" s="79" t="s">
        <v>9</v>
      </c>
      <c r="G123" s="316">
        <f t="shared" ref="G123:O123" si="55">G124+G125+G126</f>
        <v>0</v>
      </c>
      <c r="H123" s="316">
        <f>H124+H125+H126</f>
        <v>7801.8</v>
      </c>
      <c r="I123" s="338">
        <f t="shared" si="55"/>
        <v>0</v>
      </c>
      <c r="J123" s="338">
        <f>J124+J125+J126</f>
        <v>8186</v>
      </c>
      <c r="K123" s="408">
        <f t="shared" si="55"/>
        <v>0</v>
      </c>
      <c r="L123" s="408">
        <f t="shared" si="55"/>
        <v>0</v>
      </c>
      <c r="M123" s="322">
        <f t="shared" si="55"/>
        <v>0</v>
      </c>
      <c r="N123" s="322">
        <f t="shared" si="55"/>
        <v>0</v>
      </c>
      <c r="O123" s="312">
        <f t="shared" si="55"/>
        <v>0</v>
      </c>
      <c r="P123" s="312">
        <f>P124+P125+P126</f>
        <v>0</v>
      </c>
      <c r="Q123" s="322">
        <f>Q124+Q125+Q126</f>
        <v>0</v>
      </c>
      <c r="R123" s="322">
        <f>R124+R125+R126</f>
        <v>0</v>
      </c>
      <c r="S123" s="312">
        <f>S124+S125+S126</f>
        <v>0</v>
      </c>
      <c r="T123" s="312">
        <f>T124+T125+T126</f>
        <v>0</v>
      </c>
      <c r="U123" s="132">
        <f t="shared" si="36"/>
        <v>7801.8</v>
      </c>
      <c r="V123" s="132">
        <f t="shared" si="37"/>
        <v>8186</v>
      </c>
    </row>
    <row r="124" spans="1:22" s="77" customFormat="1" ht="63" x14ac:dyDescent="0.25">
      <c r="A124" s="74" t="s">
        <v>115</v>
      </c>
      <c r="B124" s="75" t="s">
        <v>22</v>
      </c>
      <c r="C124" s="75" t="s">
        <v>31</v>
      </c>
      <c r="D124" s="75" t="s">
        <v>44</v>
      </c>
      <c r="E124" s="75" t="s">
        <v>369</v>
      </c>
      <c r="F124" s="75" t="s">
        <v>113</v>
      </c>
      <c r="G124" s="311"/>
      <c r="H124" s="311">
        <v>7801.8</v>
      </c>
      <c r="I124" s="320"/>
      <c r="J124" s="320">
        <v>7801.8</v>
      </c>
      <c r="K124" s="409"/>
      <c r="L124" s="409"/>
      <c r="M124" s="323"/>
      <c r="N124" s="323"/>
      <c r="O124" s="313"/>
      <c r="P124" s="313"/>
      <c r="Q124" s="323"/>
      <c r="R124" s="323"/>
      <c r="S124" s="313"/>
      <c r="T124" s="313"/>
      <c r="U124" s="131">
        <f t="shared" si="36"/>
        <v>7801.8</v>
      </c>
      <c r="V124" s="131">
        <f t="shared" si="37"/>
        <v>7801.8</v>
      </c>
    </row>
    <row r="125" spans="1:22" s="77" customFormat="1" ht="31.5" customHeight="1" x14ac:dyDescent="0.25">
      <c r="A125" s="74" t="s">
        <v>124</v>
      </c>
      <c r="B125" s="75" t="s">
        <v>22</v>
      </c>
      <c r="C125" s="75" t="s">
        <v>31</v>
      </c>
      <c r="D125" s="75" t="s">
        <v>44</v>
      </c>
      <c r="E125" s="75" t="s">
        <v>369</v>
      </c>
      <c r="F125" s="75" t="s">
        <v>117</v>
      </c>
      <c r="G125" s="311"/>
      <c r="H125" s="311">
        <f>384.2-384.2</f>
        <v>0</v>
      </c>
      <c r="I125" s="320"/>
      <c r="J125" s="320">
        <v>384.2</v>
      </c>
      <c r="K125" s="409"/>
      <c r="L125" s="409"/>
      <c r="M125" s="323"/>
      <c r="N125" s="323"/>
      <c r="O125" s="313"/>
      <c r="P125" s="313"/>
      <c r="Q125" s="323"/>
      <c r="R125" s="323"/>
      <c r="S125" s="313"/>
      <c r="T125" s="313"/>
      <c r="U125" s="131">
        <f t="shared" si="36"/>
        <v>0</v>
      </c>
      <c r="V125" s="131">
        <f t="shared" si="37"/>
        <v>384.2</v>
      </c>
    </row>
    <row r="126" spans="1:22" s="77" customFormat="1" ht="31.5" customHeight="1" outlineLevel="1" x14ac:dyDescent="0.25">
      <c r="A126" s="74" t="s">
        <v>116</v>
      </c>
      <c r="B126" s="75" t="s">
        <v>22</v>
      </c>
      <c r="C126" s="75" t="s">
        <v>31</v>
      </c>
      <c r="D126" s="75" t="s">
        <v>44</v>
      </c>
      <c r="E126" s="75" t="s">
        <v>369</v>
      </c>
      <c r="F126" s="75" t="s">
        <v>114</v>
      </c>
      <c r="G126" s="311"/>
      <c r="H126" s="311"/>
      <c r="I126" s="320"/>
      <c r="J126" s="320"/>
      <c r="K126" s="409"/>
      <c r="L126" s="409"/>
      <c r="M126" s="323"/>
      <c r="N126" s="323"/>
      <c r="O126" s="313"/>
      <c r="P126" s="313"/>
      <c r="Q126" s="323"/>
      <c r="R126" s="323"/>
      <c r="S126" s="313"/>
      <c r="T126" s="313"/>
      <c r="U126" s="131">
        <f t="shared" si="36"/>
        <v>0</v>
      </c>
      <c r="V126" s="131">
        <f t="shared" si="37"/>
        <v>0</v>
      </c>
    </row>
    <row r="127" spans="1:22" s="80" customFormat="1" x14ac:dyDescent="0.25">
      <c r="A127" s="78" t="s">
        <v>45</v>
      </c>
      <c r="B127" s="79" t="s">
        <v>22</v>
      </c>
      <c r="C127" s="79" t="s">
        <v>31</v>
      </c>
      <c r="D127" s="79" t="s">
        <v>44</v>
      </c>
      <c r="E127" s="79" t="s">
        <v>385</v>
      </c>
      <c r="F127" s="79" t="s">
        <v>9</v>
      </c>
      <c r="G127" s="316">
        <f t="shared" ref="G127:T127" si="56">G128+G129</f>
        <v>0</v>
      </c>
      <c r="H127" s="316">
        <f t="shared" si="56"/>
        <v>2817.8</v>
      </c>
      <c r="I127" s="338">
        <f t="shared" si="56"/>
        <v>0</v>
      </c>
      <c r="J127" s="338">
        <f t="shared" si="56"/>
        <v>2967.8</v>
      </c>
      <c r="K127" s="408">
        <f t="shared" si="56"/>
        <v>0</v>
      </c>
      <c r="L127" s="408">
        <f t="shared" si="56"/>
        <v>0</v>
      </c>
      <c r="M127" s="322">
        <f t="shared" si="56"/>
        <v>0</v>
      </c>
      <c r="N127" s="322">
        <f t="shared" si="56"/>
        <v>0</v>
      </c>
      <c r="O127" s="312">
        <f t="shared" si="56"/>
        <v>0</v>
      </c>
      <c r="P127" s="312">
        <f t="shared" si="56"/>
        <v>0</v>
      </c>
      <c r="Q127" s="322">
        <f t="shared" si="56"/>
        <v>0</v>
      </c>
      <c r="R127" s="322">
        <f t="shared" si="56"/>
        <v>0</v>
      </c>
      <c r="S127" s="312">
        <f t="shared" si="56"/>
        <v>0</v>
      </c>
      <c r="T127" s="312">
        <f t="shared" si="56"/>
        <v>0</v>
      </c>
      <c r="U127" s="132">
        <f t="shared" si="36"/>
        <v>2817.8</v>
      </c>
      <c r="V127" s="132">
        <f t="shared" si="37"/>
        <v>2967.8</v>
      </c>
    </row>
    <row r="128" spans="1:22" s="77" customFormat="1" ht="63" x14ac:dyDescent="0.25">
      <c r="A128" s="74" t="s">
        <v>115</v>
      </c>
      <c r="B128" s="75" t="s">
        <v>22</v>
      </c>
      <c r="C128" s="75" t="s">
        <v>31</v>
      </c>
      <c r="D128" s="75" t="s">
        <v>44</v>
      </c>
      <c r="E128" s="75" t="s">
        <v>385</v>
      </c>
      <c r="F128" s="75" t="s">
        <v>113</v>
      </c>
      <c r="G128" s="311"/>
      <c r="H128" s="311">
        <v>2817.8</v>
      </c>
      <c r="I128" s="320"/>
      <c r="J128" s="320">
        <v>2817.8</v>
      </c>
      <c r="K128" s="409"/>
      <c r="L128" s="409"/>
      <c r="M128" s="323"/>
      <c r="N128" s="323"/>
      <c r="O128" s="313"/>
      <c r="P128" s="313"/>
      <c r="Q128" s="323"/>
      <c r="R128" s="323"/>
      <c r="S128" s="313"/>
      <c r="T128" s="313"/>
      <c r="U128" s="131">
        <f t="shared" si="36"/>
        <v>2817.8</v>
      </c>
      <c r="V128" s="131">
        <f t="shared" si="37"/>
        <v>2817.8</v>
      </c>
    </row>
    <row r="129" spans="1:22" s="77" customFormat="1" ht="31.5" customHeight="1" x14ac:dyDescent="0.25">
      <c r="A129" s="74" t="s">
        <v>124</v>
      </c>
      <c r="B129" s="75" t="s">
        <v>22</v>
      </c>
      <c r="C129" s="75" t="s">
        <v>31</v>
      </c>
      <c r="D129" s="75" t="s">
        <v>44</v>
      </c>
      <c r="E129" s="75" t="s">
        <v>385</v>
      </c>
      <c r="F129" s="75" t="s">
        <v>117</v>
      </c>
      <c r="G129" s="311"/>
      <c r="H129" s="311">
        <f>150-150</f>
        <v>0</v>
      </c>
      <c r="I129" s="320"/>
      <c r="J129" s="320">
        <v>150</v>
      </c>
      <c r="K129" s="409"/>
      <c r="L129" s="409"/>
      <c r="M129" s="323"/>
      <c r="N129" s="323"/>
      <c r="O129" s="313"/>
      <c r="P129" s="313"/>
      <c r="Q129" s="323"/>
      <c r="R129" s="323"/>
      <c r="S129" s="313"/>
      <c r="T129" s="313"/>
      <c r="U129" s="131">
        <f t="shared" si="36"/>
        <v>0</v>
      </c>
      <c r="V129" s="131">
        <f t="shared" si="37"/>
        <v>150</v>
      </c>
    </row>
    <row r="130" spans="1:22" s="77" customFormat="1" ht="47.25" x14ac:dyDescent="0.25">
      <c r="A130" s="78" t="s">
        <v>41</v>
      </c>
      <c r="B130" s="79" t="s">
        <v>22</v>
      </c>
      <c r="C130" s="79" t="s">
        <v>31</v>
      </c>
      <c r="D130" s="79" t="s">
        <v>44</v>
      </c>
      <c r="E130" s="79" t="s">
        <v>383</v>
      </c>
      <c r="F130" s="79" t="s">
        <v>9</v>
      </c>
      <c r="G130" s="316">
        <f>G131</f>
        <v>787.5</v>
      </c>
      <c r="H130" s="316">
        <f t="shared" ref="H130:T131" si="57">H131</f>
        <v>0</v>
      </c>
      <c r="I130" s="338">
        <f t="shared" si="57"/>
        <v>787.5</v>
      </c>
      <c r="J130" s="338">
        <f t="shared" si="57"/>
        <v>0</v>
      </c>
      <c r="K130" s="408">
        <f t="shared" si="57"/>
        <v>0</v>
      </c>
      <c r="L130" s="408">
        <f t="shared" si="57"/>
        <v>0</v>
      </c>
      <c r="M130" s="322">
        <f t="shared" si="57"/>
        <v>0</v>
      </c>
      <c r="N130" s="322">
        <f t="shared" si="57"/>
        <v>0</v>
      </c>
      <c r="O130" s="312">
        <f t="shared" si="57"/>
        <v>0</v>
      </c>
      <c r="P130" s="312">
        <f t="shared" si="57"/>
        <v>0</v>
      </c>
      <c r="Q130" s="322">
        <f t="shared" si="57"/>
        <v>0</v>
      </c>
      <c r="R130" s="322">
        <f t="shared" si="57"/>
        <v>0</v>
      </c>
      <c r="S130" s="312">
        <f t="shared" si="57"/>
        <v>0</v>
      </c>
      <c r="T130" s="312">
        <f t="shared" si="57"/>
        <v>0</v>
      </c>
      <c r="U130" s="132">
        <f t="shared" si="36"/>
        <v>787.5</v>
      </c>
      <c r="V130" s="132">
        <f t="shared" si="37"/>
        <v>787.5</v>
      </c>
    </row>
    <row r="131" spans="1:22" s="77" customFormat="1" ht="63" x14ac:dyDescent="0.25">
      <c r="A131" s="78" t="s">
        <v>646</v>
      </c>
      <c r="B131" s="79" t="s">
        <v>22</v>
      </c>
      <c r="C131" s="79" t="s">
        <v>31</v>
      </c>
      <c r="D131" s="79" t="s">
        <v>44</v>
      </c>
      <c r="E131" s="79" t="s">
        <v>384</v>
      </c>
      <c r="F131" s="79" t="s">
        <v>9</v>
      </c>
      <c r="G131" s="316">
        <f>G132</f>
        <v>787.5</v>
      </c>
      <c r="H131" s="316">
        <f t="shared" si="57"/>
        <v>0</v>
      </c>
      <c r="I131" s="338">
        <f t="shared" si="57"/>
        <v>787.5</v>
      </c>
      <c r="J131" s="338">
        <f t="shared" si="57"/>
        <v>0</v>
      </c>
      <c r="K131" s="408">
        <f t="shared" si="57"/>
        <v>0</v>
      </c>
      <c r="L131" s="408">
        <f t="shared" si="57"/>
        <v>0</v>
      </c>
      <c r="M131" s="322">
        <f t="shared" si="57"/>
        <v>0</v>
      </c>
      <c r="N131" s="322">
        <f t="shared" si="57"/>
        <v>0</v>
      </c>
      <c r="O131" s="312">
        <f t="shared" si="57"/>
        <v>0</v>
      </c>
      <c r="P131" s="312">
        <f t="shared" si="57"/>
        <v>0</v>
      </c>
      <c r="Q131" s="322">
        <f t="shared" si="57"/>
        <v>0</v>
      </c>
      <c r="R131" s="322">
        <f t="shared" si="57"/>
        <v>0</v>
      </c>
      <c r="S131" s="312">
        <f t="shared" si="57"/>
        <v>0</v>
      </c>
      <c r="T131" s="312">
        <f t="shared" si="57"/>
        <v>0</v>
      </c>
      <c r="U131" s="132">
        <f t="shared" si="36"/>
        <v>787.5</v>
      </c>
      <c r="V131" s="132">
        <f t="shared" si="37"/>
        <v>787.5</v>
      </c>
    </row>
    <row r="132" spans="1:22" s="77" customFormat="1" ht="31.5" x14ac:dyDescent="0.25">
      <c r="A132" s="74" t="s">
        <v>124</v>
      </c>
      <c r="B132" s="75" t="s">
        <v>22</v>
      </c>
      <c r="C132" s="75" t="s">
        <v>31</v>
      </c>
      <c r="D132" s="75" t="s">
        <v>44</v>
      </c>
      <c r="E132" s="75" t="s">
        <v>384</v>
      </c>
      <c r="F132" s="75" t="s">
        <v>117</v>
      </c>
      <c r="G132" s="311">
        <v>787.5</v>
      </c>
      <c r="H132" s="311"/>
      <c r="I132" s="320">
        <v>787.5</v>
      </c>
      <c r="J132" s="320"/>
      <c r="K132" s="407"/>
      <c r="L132" s="407"/>
      <c r="M132" s="321"/>
      <c r="N132" s="321"/>
      <c r="O132" s="310"/>
      <c r="P132" s="310"/>
      <c r="Q132" s="321"/>
      <c r="R132" s="321"/>
      <c r="S132" s="310"/>
      <c r="T132" s="310"/>
      <c r="U132" s="131">
        <f t="shared" si="36"/>
        <v>787.5</v>
      </c>
      <c r="V132" s="131">
        <f t="shared" si="37"/>
        <v>787.5</v>
      </c>
    </row>
    <row r="133" spans="1:22" s="80" customFormat="1" ht="63" x14ac:dyDescent="0.25">
      <c r="A133" s="78" t="s">
        <v>646</v>
      </c>
      <c r="B133" s="79" t="s">
        <v>22</v>
      </c>
      <c r="C133" s="79" t="s">
        <v>31</v>
      </c>
      <c r="D133" s="79" t="s">
        <v>44</v>
      </c>
      <c r="E133" s="79" t="s">
        <v>491</v>
      </c>
      <c r="F133" s="79" t="s">
        <v>9</v>
      </c>
      <c r="G133" s="316">
        <f>G134</f>
        <v>8</v>
      </c>
      <c r="H133" s="316">
        <f t="shared" ref="H133:T133" si="58">H134</f>
        <v>0</v>
      </c>
      <c r="I133" s="338">
        <f t="shared" si="58"/>
        <v>8</v>
      </c>
      <c r="J133" s="338">
        <f t="shared" si="58"/>
        <v>0</v>
      </c>
      <c r="K133" s="408">
        <f t="shared" si="58"/>
        <v>0</v>
      </c>
      <c r="L133" s="408">
        <f t="shared" si="58"/>
        <v>0</v>
      </c>
      <c r="M133" s="322">
        <f t="shared" si="58"/>
        <v>0</v>
      </c>
      <c r="N133" s="322">
        <f t="shared" si="58"/>
        <v>0</v>
      </c>
      <c r="O133" s="312">
        <f t="shared" si="58"/>
        <v>0</v>
      </c>
      <c r="P133" s="312">
        <f t="shared" si="58"/>
        <v>0</v>
      </c>
      <c r="Q133" s="322">
        <f t="shared" si="58"/>
        <v>0</v>
      </c>
      <c r="R133" s="322">
        <f t="shared" si="58"/>
        <v>0</v>
      </c>
      <c r="S133" s="312">
        <f t="shared" si="58"/>
        <v>0</v>
      </c>
      <c r="T133" s="312">
        <f t="shared" si="58"/>
        <v>0</v>
      </c>
      <c r="U133" s="132">
        <f t="shared" si="36"/>
        <v>8</v>
      </c>
      <c r="V133" s="132">
        <f t="shared" si="37"/>
        <v>8</v>
      </c>
    </row>
    <row r="134" spans="1:22" s="77" customFormat="1" ht="31.5" x14ac:dyDescent="0.25">
      <c r="A134" s="264" t="s">
        <v>124</v>
      </c>
      <c r="B134" s="75" t="s">
        <v>22</v>
      </c>
      <c r="C134" s="75" t="s">
        <v>31</v>
      </c>
      <c r="D134" s="75" t="s">
        <v>44</v>
      </c>
      <c r="E134" s="265" t="s">
        <v>491</v>
      </c>
      <c r="F134" s="265" t="s">
        <v>117</v>
      </c>
      <c r="G134" s="311">
        <v>8</v>
      </c>
      <c r="H134" s="311"/>
      <c r="I134" s="320">
        <v>8</v>
      </c>
      <c r="J134" s="320"/>
      <c r="K134" s="409"/>
      <c r="L134" s="409"/>
      <c r="M134" s="323"/>
      <c r="N134" s="323"/>
      <c r="O134" s="313"/>
      <c r="P134" s="313"/>
      <c r="Q134" s="323"/>
      <c r="R134" s="323"/>
      <c r="S134" s="313"/>
      <c r="T134" s="313"/>
      <c r="U134" s="131">
        <f t="shared" si="36"/>
        <v>8</v>
      </c>
      <c r="V134" s="131">
        <f t="shared" si="37"/>
        <v>8</v>
      </c>
    </row>
    <row r="135" spans="1:22" s="80" customFormat="1" ht="47.25" x14ac:dyDescent="0.25">
      <c r="A135" s="78" t="s">
        <v>1110</v>
      </c>
      <c r="B135" s="79" t="s">
        <v>22</v>
      </c>
      <c r="C135" s="79" t="s">
        <v>31</v>
      </c>
      <c r="D135" s="79" t="s">
        <v>44</v>
      </c>
      <c r="E135" s="79" t="s">
        <v>386</v>
      </c>
      <c r="F135" s="79" t="s">
        <v>9</v>
      </c>
      <c r="G135" s="316">
        <f t="shared" ref="G135:T136" si="59">G136</f>
        <v>59.8</v>
      </c>
      <c r="H135" s="316">
        <f t="shared" si="59"/>
        <v>0</v>
      </c>
      <c r="I135" s="338">
        <f t="shared" si="59"/>
        <v>59.8</v>
      </c>
      <c r="J135" s="338">
        <f t="shared" si="59"/>
        <v>0</v>
      </c>
      <c r="K135" s="408">
        <f t="shared" si="59"/>
        <v>0</v>
      </c>
      <c r="L135" s="408">
        <f t="shared" si="59"/>
        <v>0</v>
      </c>
      <c r="M135" s="322">
        <f t="shared" si="59"/>
        <v>0</v>
      </c>
      <c r="N135" s="322">
        <f t="shared" si="59"/>
        <v>0</v>
      </c>
      <c r="O135" s="312">
        <f t="shared" si="59"/>
        <v>0</v>
      </c>
      <c r="P135" s="312">
        <f t="shared" si="59"/>
        <v>0</v>
      </c>
      <c r="Q135" s="322">
        <f t="shared" si="59"/>
        <v>0</v>
      </c>
      <c r="R135" s="322">
        <f t="shared" si="59"/>
        <v>0</v>
      </c>
      <c r="S135" s="312">
        <f t="shared" si="59"/>
        <v>0</v>
      </c>
      <c r="T135" s="312">
        <f t="shared" si="59"/>
        <v>0</v>
      </c>
      <c r="U135" s="132">
        <f t="shared" si="36"/>
        <v>59.8</v>
      </c>
      <c r="V135" s="132">
        <f t="shared" si="37"/>
        <v>59.8</v>
      </c>
    </row>
    <row r="136" spans="1:22" s="80" customFormat="1" ht="63" x14ac:dyDescent="0.25">
      <c r="A136" s="78" t="s">
        <v>46</v>
      </c>
      <c r="B136" s="79" t="s">
        <v>22</v>
      </c>
      <c r="C136" s="79" t="s">
        <v>31</v>
      </c>
      <c r="D136" s="79" t="s">
        <v>44</v>
      </c>
      <c r="E136" s="79" t="s">
        <v>387</v>
      </c>
      <c r="F136" s="79" t="s">
        <v>9</v>
      </c>
      <c r="G136" s="316">
        <f t="shared" si="59"/>
        <v>59.8</v>
      </c>
      <c r="H136" s="316">
        <f t="shared" si="59"/>
        <v>0</v>
      </c>
      <c r="I136" s="338">
        <f t="shared" si="59"/>
        <v>59.8</v>
      </c>
      <c r="J136" s="338">
        <f t="shared" si="59"/>
        <v>0</v>
      </c>
      <c r="K136" s="408">
        <f t="shared" si="59"/>
        <v>0</v>
      </c>
      <c r="L136" s="408">
        <f t="shared" si="59"/>
        <v>0</v>
      </c>
      <c r="M136" s="322">
        <f t="shared" si="59"/>
        <v>0</v>
      </c>
      <c r="N136" s="322">
        <f t="shared" si="59"/>
        <v>0</v>
      </c>
      <c r="O136" s="312">
        <f t="shared" si="59"/>
        <v>0</v>
      </c>
      <c r="P136" s="312">
        <f t="shared" si="59"/>
        <v>0</v>
      </c>
      <c r="Q136" s="322">
        <f t="shared" si="59"/>
        <v>0</v>
      </c>
      <c r="R136" s="322">
        <f t="shared" si="59"/>
        <v>0</v>
      </c>
      <c r="S136" s="312">
        <f t="shared" si="59"/>
        <v>0</v>
      </c>
      <c r="T136" s="312">
        <f t="shared" si="59"/>
        <v>0</v>
      </c>
      <c r="U136" s="132">
        <f t="shared" si="36"/>
        <v>59.8</v>
      </c>
      <c r="V136" s="132">
        <f t="shared" si="37"/>
        <v>59.8</v>
      </c>
    </row>
    <row r="137" spans="1:22" s="77" customFormat="1" ht="31.5" x14ac:dyDescent="0.25">
      <c r="A137" s="74" t="s">
        <v>124</v>
      </c>
      <c r="B137" s="75" t="s">
        <v>22</v>
      </c>
      <c r="C137" s="75" t="s">
        <v>31</v>
      </c>
      <c r="D137" s="75" t="s">
        <v>44</v>
      </c>
      <c r="E137" s="75" t="s">
        <v>387</v>
      </c>
      <c r="F137" s="75" t="s">
        <v>117</v>
      </c>
      <c r="G137" s="311">
        <v>59.8</v>
      </c>
      <c r="H137" s="311"/>
      <c r="I137" s="320">
        <v>59.8</v>
      </c>
      <c r="J137" s="320"/>
      <c r="K137" s="409"/>
      <c r="L137" s="409"/>
      <c r="M137" s="323"/>
      <c r="N137" s="323"/>
      <c r="O137" s="313"/>
      <c r="P137" s="313"/>
      <c r="Q137" s="323"/>
      <c r="R137" s="323"/>
      <c r="S137" s="313"/>
      <c r="T137" s="313"/>
      <c r="U137" s="131">
        <f t="shared" si="36"/>
        <v>59.8</v>
      </c>
      <c r="V137" s="131">
        <f t="shared" si="37"/>
        <v>59.8</v>
      </c>
    </row>
    <row r="138" spans="1:22" s="77" customFormat="1" x14ac:dyDescent="0.25">
      <c r="A138" s="74" t="s">
        <v>17</v>
      </c>
      <c r="B138" s="75" t="s">
        <v>22</v>
      </c>
      <c r="C138" s="75" t="s">
        <v>18</v>
      </c>
      <c r="D138" s="75" t="s">
        <v>10</v>
      </c>
      <c r="E138" s="75" t="s">
        <v>365</v>
      </c>
      <c r="F138" s="75" t="s">
        <v>9</v>
      </c>
      <c r="G138" s="311">
        <f t="shared" ref="G138:O138" si="60">G139+G145</f>
        <v>10826.599999999999</v>
      </c>
      <c r="H138" s="311">
        <f>H139+H145</f>
        <v>0</v>
      </c>
      <c r="I138" s="320">
        <f t="shared" si="60"/>
        <v>11280.599999999999</v>
      </c>
      <c r="J138" s="320">
        <f>J139+J145</f>
        <v>0</v>
      </c>
      <c r="K138" s="407">
        <f t="shared" si="60"/>
        <v>0</v>
      </c>
      <c r="L138" s="407">
        <f t="shared" si="60"/>
        <v>0</v>
      </c>
      <c r="M138" s="321">
        <f t="shared" si="60"/>
        <v>0</v>
      </c>
      <c r="N138" s="321">
        <f t="shared" si="60"/>
        <v>0</v>
      </c>
      <c r="O138" s="310">
        <f t="shared" si="60"/>
        <v>0</v>
      </c>
      <c r="P138" s="310">
        <f>P139+P145</f>
        <v>0</v>
      </c>
      <c r="Q138" s="321">
        <f>Q139+Q145</f>
        <v>0</v>
      </c>
      <c r="R138" s="321">
        <f>R139+R145</f>
        <v>0</v>
      </c>
      <c r="S138" s="310">
        <f>S139+S145</f>
        <v>0</v>
      </c>
      <c r="T138" s="310">
        <f>T139+T145</f>
        <v>0</v>
      </c>
      <c r="U138" s="131">
        <f t="shared" si="36"/>
        <v>10826.599999999999</v>
      </c>
      <c r="V138" s="131">
        <f t="shared" si="37"/>
        <v>11280.599999999999</v>
      </c>
    </row>
    <row r="139" spans="1:22" s="80" customFormat="1" x14ac:dyDescent="0.25">
      <c r="A139" s="78" t="s">
        <v>19</v>
      </c>
      <c r="B139" s="79" t="s">
        <v>22</v>
      </c>
      <c r="C139" s="79" t="s">
        <v>18</v>
      </c>
      <c r="D139" s="79" t="s">
        <v>20</v>
      </c>
      <c r="E139" s="79" t="s">
        <v>365</v>
      </c>
      <c r="F139" s="79" t="s">
        <v>9</v>
      </c>
      <c r="G139" s="316">
        <f t="shared" ref="G139:T141" si="61">G140</f>
        <v>8831.6999999999989</v>
      </c>
      <c r="H139" s="316">
        <f t="shared" si="61"/>
        <v>0</v>
      </c>
      <c r="I139" s="338">
        <f t="shared" si="61"/>
        <v>9285.6999999999989</v>
      </c>
      <c r="J139" s="338">
        <f t="shared" si="61"/>
        <v>0</v>
      </c>
      <c r="K139" s="408">
        <f t="shared" si="61"/>
        <v>0</v>
      </c>
      <c r="L139" s="408">
        <f t="shared" si="61"/>
        <v>0</v>
      </c>
      <c r="M139" s="322">
        <f t="shared" si="61"/>
        <v>0</v>
      </c>
      <c r="N139" s="322">
        <f t="shared" si="61"/>
        <v>0</v>
      </c>
      <c r="O139" s="312">
        <f t="shared" si="61"/>
        <v>0</v>
      </c>
      <c r="P139" s="312">
        <f t="shared" si="61"/>
        <v>0</v>
      </c>
      <c r="Q139" s="322">
        <f t="shared" si="61"/>
        <v>0</v>
      </c>
      <c r="R139" s="322">
        <f t="shared" si="61"/>
        <v>0</v>
      </c>
      <c r="S139" s="312">
        <f t="shared" si="61"/>
        <v>0</v>
      </c>
      <c r="T139" s="312">
        <f t="shared" si="61"/>
        <v>0</v>
      </c>
      <c r="U139" s="132">
        <f t="shared" si="36"/>
        <v>8831.6999999999989</v>
      </c>
      <c r="V139" s="132">
        <f t="shared" si="37"/>
        <v>9285.6999999999989</v>
      </c>
    </row>
    <row r="140" spans="1:22" s="80" customFormat="1" ht="31.5" x14ac:dyDescent="0.25">
      <c r="A140" s="78" t="s">
        <v>783</v>
      </c>
      <c r="B140" s="79" t="s">
        <v>22</v>
      </c>
      <c r="C140" s="79" t="s">
        <v>18</v>
      </c>
      <c r="D140" s="79" t="s">
        <v>20</v>
      </c>
      <c r="E140" s="79" t="s">
        <v>366</v>
      </c>
      <c r="F140" s="79" t="s">
        <v>9</v>
      </c>
      <c r="G140" s="316">
        <f t="shared" si="61"/>
        <v>8831.6999999999989</v>
      </c>
      <c r="H140" s="316">
        <f t="shared" si="61"/>
        <v>0</v>
      </c>
      <c r="I140" s="338">
        <f t="shared" si="61"/>
        <v>9285.6999999999989</v>
      </c>
      <c r="J140" s="338">
        <f t="shared" si="61"/>
        <v>0</v>
      </c>
      <c r="K140" s="408">
        <f t="shared" si="61"/>
        <v>0</v>
      </c>
      <c r="L140" s="408">
        <f t="shared" si="61"/>
        <v>0</v>
      </c>
      <c r="M140" s="322">
        <f t="shared" si="61"/>
        <v>0</v>
      </c>
      <c r="N140" s="322">
        <f t="shared" si="61"/>
        <v>0</v>
      </c>
      <c r="O140" s="312">
        <f t="shared" si="61"/>
        <v>0</v>
      </c>
      <c r="P140" s="312">
        <f t="shared" si="61"/>
        <v>0</v>
      </c>
      <c r="Q140" s="322">
        <f t="shared" si="61"/>
        <v>0</v>
      </c>
      <c r="R140" s="322">
        <f t="shared" si="61"/>
        <v>0</v>
      </c>
      <c r="S140" s="312">
        <f t="shared" si="61"/>
        <v>0</v>
      </c>
      <c r="T140" s="312">
        <f t="shared" si="61"/>
        <v>0</v>
      </c>
      <c r="U140" s="132">
        <f t="shared" si="36"/>
        <v>8831.6999999999989</v>
      </c>
      <c r="V140" s="132">
        <f t="shared" si="37"/>
        <v>9285.6999999999989</v>
      </c>
    </row>
    <row r="141" spans="1:22" s="80" customFormat="1" ht="47.25" x14ac:dyDescent="0.25">
      <c r="A141" s="78" t="s">
        <v>1110</v>
      </c>
      <c r="B141" s="79" t="s">
        <v>22</v>
      </c>
      <c r="C141" s="79" t="s">
        <v>18</v>
      </c>
      <c r="D141" s="79" t="s">
        <v>20</v>
      </c>
      <c r="E141" s="79" t="s">
        <v>386</v>
      </c>
      <c r="F141" s="79" t="s">
        <v>9</v>
      </c>
      <c r="G141" s="316">
        <f t="shared" si="61"/>
        <v>8831.6999999999989</v>
      </c>
      <c r="H141" s="316">
        <f t="shared" si="61"/>
        <v>0</v>
      </c>
      <c r="I141" s="338">
        <f t="shared" si="61"/>
        <v>9285.6999999999989</v>
      </c>
      <c r="J141" s="338">
        <f t="shared" si="61"/>
        <v>0</v>
      </c>
      <c r="K141" s="408">
        <f t="shared" si="61"/>
        <v>0</v>
      </c>
      <c r="L141" s="408">
        <f t="shared" si="61"/>
        <v>0</v>
      </c>
      <c r="M141" s="322">
        <f t="shared" si="61"/>
        <v>0</v>
      </c>
      <c r="N141" s="322">
        <f t="shared" si="61"/>
        <v>0</v>
      </c>
      <c r="O141" s="312">
        <f t="shared" si="61"/>
        <v>0</v>
      </c>
      <c r="P141" s="312">
        <f t="shared" si="61"/>
        <v>0</v>
      </c>
      <c r="Q141" s="322">
        <f t="shared" si="61"/>
        <v>0</v>
      </c>
      <c r="R141" s="322">
        <f t="shared" si="61"/>
        <v>0</v>
      </c>
      <c r="S141" s="312">
        <f t="shared" si="61"/>
        <v>0</v>
      </c>
      <c r="T141" s="312">
        <f t="shared" si="61"/>
        <v>0</v>
      </c>
      <c r="U141" s="132">
        <f t="shared" si="36"/>
        <v>8831.6999999999989</v>
      </c>
      <c r="V141" s="132">
        <f t="shared" si="37"/>
        <v>9285.6999999999989</v>
      </c>
    </row>
    <row r="142" spans="1:22" s="80" customFormat="1" ht="63" x14ac:dyDescent="0.25">
      <c r="A142" s="78" t="s">
        <v>1114</v>
      </c>
      <c r="B142" s="79" t="s">
        <v>22</v>
      </c>
      <c r="C142" s="79" t="s">
        <v>18</v>
      </c>
      <c r="D142" s="79" t="s">
        <v>20</v>
      </c>
      <c r="E142" s="79" t="s">
        <v>388</v>
      </c>
      <c r="F142" s="79" t="s">
        <v>9</v>
      </c>
      <c r="G142" s="316">
        <f t="shared" ref="G142:O142" si="62">G143+G144</f>
        <v>8831.6999999999989</v>
      </c>
      <c r="H142" s="316">
        <f>H143+H144</f>
        <v>0</v>
      </c>
      <c r="I142" s="338">
        <f t="shared" si="62"/>
        <v>9285.6999999999989</v>
      </c>
      <c r="J142" s="338">
        <f>J143+J144</f>
        <v>0</v>
      </c>
      <c r="K142" s="408">
        <f t="shared" si="62"/>
        <v>0</v>
      </c>
      <c r="L142" s="408">
        <f t="shared" si="62"/>
        <v>0</v>
      </c>
      <c r="M142" s="322">
        <f t="shared" si="62"/>
        <v>0</v>
      </c>
      <c r="N142" s="322">
        <f t="shared" si="62"/>
        <v>0</v>
      </c>
      <c r="O142" s="312">
        <f t="shared" si="62"/>
        <v>0</v>
      </c>
      <c r="P142" s="312">
        <f>P143+P144</f>
        <v>0</v>
      </c>
      <c r="Q142" s="322">
        <f>Q143+Q144</f>
        <v>0</v>
      </c>
      <c r="R142" s="322">
        <f>R143+R144</f>
        <v>0</v>
      </c>
      <c r="S142" s="312">
        <f>S143+S144</f>
        <v>0</v>
      </c>
      <c r="T142" s="312">
        <f>T143+T144</f>
        <v>0</v>
      </c>
      <c r="U142" s="132">
        <f t="shared" si="36"/>
        <v>8831.6999999999989</v>
      </c>
      <c r="V142" s="132">
        <f t="shared" si="37"/>
        <v>9285.6999999999989</v>
      </c>
    </row>
    <row r="143" spans="1:22" s="77" customFormat="1" ht="63" x14ac:dyDescent="0.25">
      <c r="A143" s="74" t="s">
        <v>115</v>
      </c>
      <c r="B143" s="75" t="s">
        <v>22</v>
      </c>
      <c r="C143" s="75" t="s">
        <v>18</v>
      </c>
      <c r="D143" s="75" t="s">
        <v>20</v>
      </c>
      <c r="E143" s="75" t="s">
        <v>388</v>
      </c>
      <c r="F143" s="75" t="s">
        <v>113</v>
      </c>
      <c r="G143" s="311">
        <f>9573.3-830</f>
        <v>8743.2999999999993</v>
      </c>
      <c r="H143" s="311"/>
      <c r="I143" s="320">
        <f>10022.8-830</f>
        <v>9192.7999999999993</v>
      </c>
      <c r="J143" s="320"/>
      <c r="K143" s="409"/>
      <c r="L143" s="409"/>
      <c r="M143" s="323"/>
      <c r="N143" s="323"/>
      <c r="O143" s="313"/>
      <c r="P143" s="313"/>
      <c r="Q143" s="323"/>
      <c r="R143" s="323"/>
      <c r="S143" s="313"/>
      <c r="T143" s="313"/>
      <c r="U143" s="131">
        <f t="shared" si="36"/>
        <v>8743.2999999999993</v>
      </c>
      <c r="V143" s="131">
        <f t="shared" si="37"/>
        <v>9192.7999999999993</v>
      </c>
    </row>
    <row r="144" spans="1:22" s="77" customFormat="1" ht="31.5" x14ac:dyDescent="0.25">
      <c r="A144" s="74" t="s">
        <v>124</v>
      </c>
      <c r="B144" s="75" t="s">
        <v>22</v>
      </c>
      <c r="C144" s="75" t="s">
        <v>18</v>
      </c>
      <c r="D144" s="75" t="s">
        <v>20</v>
      </c>
      <c r="E144" s="75" t="s">
        <v>388</v>
      </c>
      <c r="F144" s="75" t="s">
        <v>117</v>
      </c>
      <c r="G144" s="311">
        <f>96.7-8.3</f>
        <v>88.4</v>
      </c>
      <c r="H144" s="311"/>
      <c r="I144" s="320">
        <f>101.2-8.3</f>
        <v>92.9</v>
      </c>
      <c r="J144" s="320"/>
      <c r="K144" s="409"/>
      <c r="L144" s="409"/>
      <c r="M144" s="323"/>
      <c r="N144" s="323"/>
      <c r="O144" s="313"/>
      <c r="P144" s="313"/>
      <c r="Q144" s="323"/>
      <c r="R144" s="323"/>
      <c r="S144" s="313"/>
      <c r="T144" s="313"/>
      <c r="U144" s="131">
        <f t="shared" si="36"/>
        <v>88.4</v>
      </c>
      <c r="V144" s="131">
        <f t="shared" si="37"/>
        <v>92.9</v>
      </c>
    </row>
    <row r="145" spans="1:22" s="80" customFormat="1" x14ac:dyDescent="0.25">
      <c r="A145" s="78" t="s">
        <v>47</v>
      </c>
      <c r="B145" s="79" t="s">
        <v>22</v>
      </c>
      <c r="C145" s="79" t="s">
        <v>18</v>
      </c>
      <c r="D145" s="79" t="s">
        <v>25</v>
      </c>
      <c r="E145" s="79" t="s">
        <v>365</v>
      </c>
      <c r="F145" s="79" t="s">
        <v>9</v>
      </c>
      <c r="G145" s="316">
        <f t="shared" ref="G145:T145" si="63">G146</f>
        <v>1994.9</v>
      </c>
      <c r="H145" s="316">
        <f t="shared" si="63"/>
        <v>0</v>
      </c>
      <c r="I145" s="338">
        <f t="shared" si="63"/>
        <v>1994.9</v>
      </c>
      <c r="J145" s="338">
        <f t="shared" si="63"/>
        <v>0</v>
      </c>
      <c r="K145" s="408">
        <f t="shared" si="63"/>
        <v>0</v>
      </c>
      <c r="L145" s="408">
        <f t="shared" si="63"/>
        <v>0</v>
      </c>
      <c r="M145" s="322">
        <f t="shared" si="63"/>
        <v>0</v>
      </c>
      <c r="N145" s="322">
        <f t="shared" si="63"/>
        <v>0</v>
      </c>
      <c r="O145" s="312">
        <f t="shared" si="63"/>
        <v>0</v>
      </c>
      <c r="P145" s="312">
        <f t="shared" si="63"/>
        <v>0</v>
      </c>
      <c r="Q145" s="322">
        <f t="shared" si="63"/>
        <v>0</v>
      </c>
      <c r="R145" s="322">
        <f t="shared" si="63"/>
        <v>0</v>
      </c>
      <c r="S145" s="312">
        <f t="shared" si="63"/>
        <v>0</v>
      </c>
      <c r="T145" s="312">
        <f t="shared" si="63"/>
        <v>0</v>
      </c>
      <c r="U145" s="132">
        <f t="shared" si="36"/>
        <v>1994.9</v>
      </c>
      <c r="V145" s="132">
        <f t="shared" si="37"/>
        <v>1994.9</v>
      </c>
    </row>
    <row r="146" spans="1:22" s="80" customFormat="1" ht="31.5" x14ac:dyDescent="0.25">
      <c r="A146" s="78" t="s">
        <v>783</v>
      </c>
      <c r="B146" s="79" t="s">
        <v>22</v>
      </c>
      <c r="C146" s="79" t="s">
        <v>18</v>
      </c>
      <c r="D146" s="79" t="s">
        <v>25</v>
      </c>
      <c r="E146" s="79" t="s">
        <v>366</v>
      </c>
      <c r="F146" s="79" t="s">
        <v>9</v>
      </c>
      <c r="G146" s="316">
        <f t="shared" ref="G146:O146" si="64">G151+G147+G149+G154</f>
        <v>1994.9</v>
      </c>
      <c r="H146" s="316">
        <f>H151+H147+H149+H154</f>
        <v>0</v>
      </c>
      <c r="I146" s="338">
        <f t="shared" si="64"/>
        <v>1994.9</v>
      </c>
      <c r="J146" s="338">
        <f>J151+J147+J149+J154</f>
        <v>0</v>
      </c>
      <c r="K146" s="408">
        <f t="shared" si="64"/>
        <v>0</v>
      </c>
      <c r="L146" s="408">
        <f t="shared" si="64"/>
        <v>0</v>
      </c>
      <c r="M146" s="322">
        <f t="shared" si="64"/>
        <v>0</v>
      </c>
      <c r="N146" s="322">
        <f t="shared" si="64"/>
        <v>0</v>
      </c>
      <c r="O146" s="312">
        <f t="shared" si="64"/>
        <v>0</v>
      </c>
      <c r="P146" s="312">
        <f>P151+P147+P149+P154</f>
        <v>0</v>
      </c>
      <c r="Q146" s="322">
        <f>Q151+Q147+Q149+Q154</f>
        <v>0</v>
      </c>
      <c r="R146" s="322">
        <f>R151+R147+R149+R154</f>
        <v>0</v>
      </c>
      <c r="S146" s="312">
        <f>S151+S147+S149+S154</f>
        <v>0</v>
      </c>
      <c r="T146" s="312">
        <f>T151+T147+T149+T154</f>
        <v>0</v>
      </c>
      <c r="U146" s="132">
        <f t="shared" si="36"/>
        <v>1994.9</v>
      </c>
      <c r="V146" s="132">
        <f t="shared" si="37"/>
        <v>1994.9</v>
      </c>
    </row>
    <row r="147" spans="1:22" s="80" customFormat="1" ht="15.75" customHeight="1" outlineLevel="1" x14ac:dyDescent="0.25">
      <c r="A147" s="78" t="s">
        <v>179</v>
      </c>
      <c r="B147" s="79" t="s">
        <v>22</v>
      </c>
      <c r="C147" s="79" t="s">
        <v>18</v>
      </c>
      <c r="D147" s="79" t="s">
        <v>25</v>
      </c>
      <c r="E147" s="79" t="s">
        <v>371</v>
      </c>
      <c r="F147" s="79" t="s">
        <v>9</v>
      </c>
      <c r="G147" s="316">
        <f t="shared" ref="G147:T147" si="65">G148</f>
        <v>0</v>
      </c>
      <c r="H147" s="316">
        <f t="shared" si="65"/>
        <v>0</v>
      </c>
      <c r="I147" s="338">
        <f t="shared" si="65"/>
        <v>0</v>
      </c>
      <c r="J147" s="338">
        <f t="shared" si="65"/>
        <v>0</v>
      </c>
      <c r="K147" s="408">
        <f t="shared" si="65"/>
        <v>0</v>
      </c>
      <c r="L147" s="408">
        <f t="shared" si="65"/>
        <v>0</v>
      </c>
      <c r="M147" s="322">
        <f t="shared" si="65"/>
        <v>0</v>
      </c>
      <c r="N147" s="322">
        <f t="shared" si="65"/>
        <v>0</v>
      </c>
      <c r="O147" s="312">
        <f t="shared" si="65"/>
        <v>0</v>
      </c>
      <c r="P147" s="312">
        <f t="shared" si="65"/>
        <v>0</v>
      </c>
      <c r="Q147" s="322">
        <f t="shared" si="65"/>
        <v>0</v>
      </c>
      <c r="R147" s="322">
        <f t="shared" si="65"/>
        <v>0</v>
      </c>
      <c r="S147" s="312">
        <f t="shared" si="65"/>
        <v>0</v>
      </c>
      <c r="T147" s="312">
        <f t="shared" si="65"/>
        <v>0</v>
      </c>
      <c r="U147" s="132">
        <f t="shared" si="36"/>
        <v>0</v>
      </c>
      <c r="V147" s="132">
        <f t="shared" si="37"/>
        <v>0</v>
      </c>
    </row>
    <row r="148" spans="1:22" s="77" customFormat="1" ht="63" customHeight="1" outlineLevel="1" x14ac:dyDescent="0.25">
      <c r="A148" s="74" t="s">
        <v>115</v>
      </c>
      <c r="B148" s="75" t="s">
        <v>22</v>
      </c>
      <c r="C148" s="75" t="s">
        <v>18</v>
      </c>
      <c r="D148" s="75" t="s">
        <v>25</v>
      </c>
      <c r="E148" s="75" t="s">
        <v>371</v>
      </c>
      <c r="F148" s="75" t="s">
        <v>113</v>
      </c>
      <c r="G148" s="311"/>
      <c r="H148" s="311"/>
      <c r="I148" s="320"/>
      <c r="J148" s="320"/>
      <c r="K148" s="409"/>
      <c r="L148" s="409"/>
      <c r="M148" s="323"/>
      <c r="N148" s="323"/>
      <c r="O148" s="313"/>
      <c r="P148" s="313"/>
      <c r="Q148" s="323"/>
      <c r="R148" s="323"/>
      <c r="S148" s="313"/>
      <c r="T148" s="313"/>
      <c r="U148" s="131">
        <f t="shared" si="36"/>
        <v>0</v>
      </c>
      <c r="V148" s="131">
        <f t="shared" si="37"/>
        <v>0</v>
      </c>
    </row>
    <row r="149" spans="1:22" s="80" customFormat="1" ht="15.75" customHeight="1" outlineLevel="1" x14ac:dyDescent="0.25">
      <c r="A149" s="78" t="s">
        <v>38</v>
      </c>
      <c r="B149" s="79" t="s">
        <v>22</v>
      </c>
      <c r="C149" s="79" t="s">
        <v>18</v>
      </c>
      <c r="D149" s="79" t="s">
        <v>25</v>
      </c>
      <c r="E149" s="79" t="s">
        <v>377</v>
      </c>
      <c r="F149" s="79" t="s">
        <v>9</v>
      </c>
      <c r="G149" s="316">
        <f t="shared" ref="G149:T149" si="66">G150</f>
        <v>0</v>
      </c>
      <c r="H149" s="316">
        <f t="shared" si="66"/>
        <v>0</v>
      </c>
      <c r="I149" s="338">
        <f t="shared" si="66"/>
        <v>0</v>
      </c>
      <c r="J149" s="338">
        <f t="shared" si="66"/>
        <v>0</v>
      </c>
      <c r="K149" s="408">
        <f t="shared" si="66"/>
        <v>0</v>
      </c>
      <c r="L149" s="408">
        <f t="shared" si="66"/>
        <v>0</v>
      </c>
      <c r="M149" s="322">
        <f t="shared" si="66"/>
        <v>0</v>
      </c>
      <c r="N149" s="322">
        <f t="shared" si="66"/>
        <v>0</v>
      </c>
      <c r="O149" s="312">
        <f t="shared" si="66"/>
        <v>0</v>
      </c>
      <c r="P149" s="312">
        <f t="shared" si="66"/>
        <v>0</v>
      </c>
      <c r="Q149" s="322">
        <f t="shared" si="66"/>
        <v>0</v>
      </c>
      <c r="R149" s="322">
        <f t="shared" si="66"/>
        <v>0</v>
      </c>
      <c r="S149" s="312">
        <f t="shared" si="66"/>
        <v>0</v>
      </c>
      <c r="T149" s="312">
        <f t="shared" si="66"/>
        <v>0</v>
      </c>
      <c r="U149" s="132">
        <f t="shared" si="36"/>
        <v>0</v>
      </c>
      <c r="V149" s="132">
        <f t="shared" si="37"/>
        <v>0</v>
      </c>
    </row>
    <row r="150" spans="1:22" s="77" customFormat="1" ht="63" customHeight="1" outlineLevel="1" x14ac:dyDescent="0.25">
      <c r="A150" s="74" t="s">
        <v>115</v>
      </c>
      <c r="B150" s="75" t="s">
        <v>22</v>
      </c>
      <c r="C150" s="75" t="s">
        <v>18</v>
      </c>
      <c r="D150" s="75" t="s">
        <v>25</v>
      </c>
      <c r="E150" s="75" t="s">
        <v>377</v>
      </c>
      <c r="F150" s="75" t="s">
        <v>113</v>
      </c>
      <c r="G150" s="311"/>
      <c r="H150" s="311"/>
      <c r="I150" s="320"/>
      <c r="J150" s="320"/>
      <c r="K150" s="409"/>
      <c r="L150" s="409"/>
      <c r="M150" s="323"/>
      <c r="N150" s="323"/>
      <c r="O150" s="313"/>
      <c r="P150" s="313"/>
      <c r="Q150" s="323"/>
      <c r="R150" s="323"/>
      <c r="S150" s="313"/>
      <c r="T150" s="313"/>
      <c r="U150" s="131">
        <f t="shared" si="36"/>
        <v>0</v>
      </c>
      <c r="V150" s="131">
        <f t="shared" si="37"/>
        <v>0</v>
      </c>
    </row>
    <row r="151" spans="1:22" s="80" customFormat="1" ht="47.25" x14ac:dyDescent="0.25">
      <c r="A151" s="78" t="s">
        <v>1110</v>
      </c>
      <c r="B151" s="79" t="s">
        <v>22</v>
      </c>
      <c r="C151" s="79" t="s">
        <v>18</v>
      </c>
      <c r="D151" s="79" t="s">
        <v>25</v>
      </c>
      <c r="E151" s="79" t="s">
        <v>386</v>
      </c>
      <c r="F151" s="79" t="s">
        <v>9</v>
      </c>
      <c r="G151" s="316">
        <f t="shared" ref="G151:T152" si="67">G152</f>
        <v>1994.9</v>
      </c>
      <c r="H151" s="316">
        <f t="shared" si="67"/>
        <v>0</v>
      </c>
      <c r="I151" s="338">
        <f t="shared" si="67"/>
        <v>1994.9</v>
      </c>
      <c r="J151" s="338">
        <f t="shared" si="67"/>
        <v>0</v>
      </c>
      <c r="K151" s="408">
        <f t="shared" si="67"/>
        <v>0</v>
      </c>
      <c r="L151" s="408">
        <f t="shared" si="67"/>
        <v>0</v>
      </c>
      <c r="M151" s="322">
        <f t="shared" si="67"/>
        <v>0</v>
      </c>
      <c r="N151" s="322">
        <f t="shared" si="67"/>
        <v>0</v>
      </c>
      <c r="O151" s="312">
        <f t="shared" si="67"/>
        <v>0</v>
      </c>
      <c r="P151" s="312">
        <f t="shared" si="67"/>
        <v>0</v>
      </c>
      <c r="Q151" s="322">
        <f t="shared" si="67"/>
        <v>0</v>
      </c>
      <c r="R151" s="322">
        <f t="shared" si="67"/>
        <v>0</v>
      </c>
      <c r="S151" s="312">
        <f t="shared" si="67"/>
        <v>0</v>
      </c>
      <c r="T151" s="312">
        <f t="shared" si="67"/>
        <v>0</v>
      </c>
      <c r="U151" s="132">
        <f t="shared" si="36"/>
        <v>1994.9</v>
      </c>
      <c r="V151" s="132">
        <f t="shared" si="37"/>
        <v>1994.9</v>
      </c>
    </row>
    <row r="152" spans="1:22" s="80" customFormat="1" ht="63" x14ac:dyDescent="0.25">
      <c r="A152" s="78" t="s">
        <v>46</v>
      </c>
      <c r="B152" s="79" t="s">
        <v>22</v>
      </c>
      <c r="C152" s="79" t="s">
        <v>18</v>
      </c>
      <c r="D152" s="79" t="s">
        <v>25</v>
      </c>
      <c r="E152" s="79" t="s">
        <v>387</v>
      </c>
      <c r="F152" s="79" t="s">
        <v>9</v>
      </c>
      <c r="G152" s="316">
        <f t="shared" si="67"/>
        <v>1994.9</v>
      </c>
      <c r="H152" s="316">
        <f t="shared" si="67"/>
        <v>0</v>
      </c>
      <c r="I152" s="338">
        <f t="shared" si="67"/>
        <v>1994.9</v>
      </c>
      <c r="J152" s="338">
        <f t="shared" si="67"/>
        <v>0</v>
      </c>
      <c r="K152" s="408">
        <f t="shared" si="67"/>
        <v>0</v>
      </c>
      <c r="L152" s="408">
        <f t="shared" si="67"/>
        <v>0</v>
      </c>
      <c r="M152" s="322">
        <f t="shared" si="67"/>
        <v>0</v>
      </c>
      <c r="N152" s="322">
        <f t="shared" si="67"/>
        <v>0</v>
      </c>
      <c r="O152" s="312">
        <f t="shared" si="67"/>
        <v>0</v>
      </c>
      <c r="P152" s="312">
        <f t="shared" si="67"/>
        <v>0</v>
      </c>
      <c r="Q152" s="322">
        <f t="shared" si="67"/>
        <v>0</v>
      </c>
      <c r="R152" s="322">
        <f t="shared" si="67"/>
        <v>0</v>
      </c>
      <c r="S152" s="312">
        <f t="shared" si="67"/>
        <v>0</v>
      </c>
      <c r="T152" s="312">
        <f t="shared" si="67"/>
        <v>0</v>
      </c>
      <c r="U152" s="132">
        <f t="shared" si="36"/>
        <v>1994.9</v>
      </c>
      <c r="V152" s="132">
        <f t="shared" si="37"/>
        <v>1994.9</v>
      </c>
    </row>
    <row r="153" spans="1:22" s="77" customFormat="1" x14ac:dyDescent="0.25">
      <c r="A153" s="74" t="s">
        <v>125</v>
      </c>
      <c r="B153" s="75" t="s">
        <v>22</v>
      </c>
      <c r="C153" s="75" t="s">
        <v>18</v>
      </c>
      <c r="D153" s="75" t="s">
        <v>25</v>
      </c>
      <c r="E153" s="75" t="s">
        <v>387</v>
      </c>
      <c r="F153" s="75" t="s">
        <v>118</v>
      </c>
      <c r="G153" s="311">
        <v>1994.9</v>
      </c>
      <c r="H153" s="311"/>
      <c r="I153" s="320">
        <v>1994.9</v>
      </c>
      <c r="J153" s="320"/>
      <c r="K153" s="409"/>
      <c r="L153" s="407"/>
      <c r="M153" s="323"/>
      <c r="N153" s="323"/>
      <c r="O153" s="313"/>
      <c r="P153" s="313"/>
      <c r="Q153" s="323"/>
      <c r="R153" s="323"/>
      <c r="S153" s="313"/>
      <c r="T153" s="313"/>
      <c r="U153" s="131">
        <f t="shared" si="36"/>
        <v>1994.9</v>
      </c>
      <c r="V153" s="131">
        <f t="shared" si="37"/>
        <v>1994.9</v>
      </c>
    </row>
    <row r="154" spans="1:22" s="80" customFormat="1" ht="15.75" customHeight="1" outlineLevel="1" x14ac:dyDescent="0.25">
      <c r="A154" s="78" t="s">
        <v>39</v>
      </c>
      <c r="B154" s="79" t="s">
        <v>22</v>
      </c>
      <c r="C154" s="79" t="s">
        <v>18</v>
      </c>
      <c r="D154" s="79" t="s">
        <v>25</v>
      </c>
      <c r="E154" s="79" t="s">
        <v>372</v>
      </c>
      <c r="F154" s="79" t="s">
        <v>9</v>
      </c>
      <c r="G154" s="316">
        <f t="shared" ref="G154:O154" si="68">G155+G157</f>
        <v>0</v>
      </c>
      <c r="H154" s="316">
        <f>H155+H157</f>
        <v>0</v>
      </c>
      <c r="I154" s="338">
        <f t="shared" si="68"/>
        <v>0</v>
      </c>
      <c r="J154" s="338">
        <f>J155+J157</f>
        <v>0</v>
      </c>
      <c r="K154" s="408">
        <f t="shared" si="68"/>
        <v>0</v>
      </c>
      <c r="L154" s="408">
        <f t="shared" si="68"/>
        <v>0</v>
      </c>
      <c r="M154" s="322">
        <f t="shared" si="68"/>
        <v>0</v>
      </c>
      <c r="N154" s="322">
        <f t="shared" si="68"/>
        <v>0</v>
      </c>
      <c r="O154" s="312">
        <f t="shared" si="68"/>
        <v>0</v>
      </c>
      <c r="P154" s="312">
        <f>P155+P157</f>
        <v>0</v>
      </c>
      <c r="Q154" s="322">
        <f>Q155+Q157</f>
        <v>0</v>
      </c>
      <c r="R154" s="322">
        <f>R155+R157</f>
        <v>0</v>
      </c>
      <c r="S154" s="312">
        <f>S155+S157</f>
        <v>0</v>
      </c>
      <c r="T154" s="312">
        <f>T155+T157</f>
        <v>0</v>
      </c>
      <c r="U154" s="132">
        <f t="shared" ref="U154:U220" si="69">G154+K154+M154+O154+Q154+S154+H154</f>
        <v>0</v>
      </c>
      <c r="V154" s="132">
        <f t="shared" ref="V154:V220" si="70">I154+L154+N154+P154+R154+T154+J154</f>
        <v>0</v>
      </c>
    </row>
    <row r="155" spans="1:22" s="80" customFormat="1" ht="63" customHeight="1" outlineLevel="1" x14ac:dyDescent="0.25">
      <c r="A155" s="78" t="s">
        <v>206</v>
      </c>
      <c r="B155" s="79" t="s">
        <v>22</v>
      </c>
      <c r="C155" s="79" t="s">
        <v>18</v>
      </c>
      <c r="D155" s="79" t="s">
        <v>25</v>
      </c>
      <c r="E155" s="79" t="s">
        <v>379</v>
      </c>
      <c r="F155" s="79" t="s">
        <v>9</v>
      </c>
      <c r="G155" s="316">
        <f t="shared" ref="G155:T155" si="71">G156</f>
        <v>0</v>
      </c>
      <c r="H155" s="316">
        <f t="shared" si="71"/>
        <v>0</v>
      </c>
      <c r="I155" s="338">
        <f t="shared" si="71"/>
        <v>0</v>
      </c>
      <c r="J155" s="338">
        <f t="shared" si="71"/>
        <v>0</v>
      </c>
      <c r="K155" s="408">
        <f t="shared" si="71"/>
        <v>0</v>
      </c>
      <c r="L155" s="408">
        <f t="shared" si="71"/>
        <v>0</v>
      </c>
      <c r="M155" s="322">
        <f t="shared" si="71"/>
        <v>0</v>
      </c>
      <c r="N155" s="322">
        <f t="shared" si="71"/>
        <v>0</v>
      </c>
      <c r="O155" s="312">
        <f t="shared" si="71"/>
        <v>0</v>
      </c>
      <c r="P155" s="312">
        <f t="shared" si="71"/>
        <v>0</v>
      </c>
      <c r="Q155" s="322">
        <f t="shared" si="71"/>
        <v>0</v>
      </c>
      <c r="R155" s="322">
        <f t="shared" si="71"/>
        <v>0</v>
      </c>
      <c r="S155" s="312">
        <f t="shared" si="71"/>
        <v>0</v>
      </c>
      <c r="T155" s="312">
        <f t="shared" si="71"/>
        <v>0</v>
      </c>
      <c r="U155" s="132">
        <f t="shared" si="69"/>
        <v>0</v>
      </c>
      <c r="V155" s="132">
        <f t="shared" si="70"/>
        <v>0</v>
      </c>
    </row>
    <row r="156" spans="1:22" s="77" customFormat="1" ht="63" customHeight="1" outlineLevel="1" x14ac:dyDescent="0.25">
      <c r="A156" s="74" t="s">
        <v>115</v>
      </c>
      <c r="B156" s="75" t="s">
        <v>22</v>
      </c>
      <c r="C156" s="75" t="s">
        <v>18</v>
      </c>
      <c r="D156" s="75" t="s">
        <v>25</v>
      </c>
      <c r="E156" s="75" t="s">
        <v>379</v>
      </c>
      <c r="F156" s="75" t="s">
        <v>113</v>
      </c>
      <c r="G156" s="311"/>
      <c r="H156" s="311"/>
      <c r="I156" s="320"/>
      <c r="J156" s="320"/>
      <c r="K156" s="409"/>
      <c r="L156" s="409"/>
      <c r="M156" s="323"/>
      <c r="N156" s="323"/>
      <c r="O156" s="313"/>
      <c r="P156" s="313"/>
      <c r="Q156" s="323"/>
      <c r="R156" s="323"/>
      <c r="S156" s="313"/>
      <c r="T156" s="313"/>
      <c r="U156" s="131">
        <f t="shared" si="69"/>
        <v>0</v>
      </c>
      <c r="V156" s="131">
        <f t="shared" si="70"/>
        <v>0</v>
      </c>
    </row>
    <row r="157" spans="1:22" s="80" customFormat="1" ht="47.25" customHeight="1" outlineLevel="1" x14ac:dyDescent="0.25">
      <c r="A157" s="78" t="s">
        <v>34</v>
      </c>
      <c r="B157" s="79" t="s">
        <v>22</v>
      </c>
      <c r="C157" s="79" t="s">
        <v>18</v>
      </c>
      <c r="D157" s="79" t="s">
        <v>25</v>
      </c>
      <c r="E157" s="79" t="s">
        <v>373</v>
      </c>
      <c r="F157" s="79" t="s">
        <v>9</v>
      </c>
      <c r="G157" s="316">
        <f t="shared" ref="G157:T157" si="72">G158</f>
        <v>0</v>
      </c>
      <c r="H157" s="316">
        <f t="shared" si="72"/>
        <v>0</v>
      </c>
      <c r="I157" s="338">
        <f t="shared" si="72"/>
        <v>0</v>
      </c>
      <c r="J157" s="338">
        <f t="shared" si="72"/>
        <v>0</v>
      </c>
      <c r="K157" s="408">
        <f t="shared" si="72"/>
        <v>0</v>
      </c>
      <c r="L157" s="408">
        <f t="shared" si="72"/>
        <v>0</v>
      </c>
      <c r="M157" s="322">
        <f t="shared" si="72"/>
        <v>0</v>
      </c>
      <c r="N157" s="322">
        <f t="shared" si="72"/>
        <v>0</v>
      </c>
      <c r="O157" s="312">
        <f t="shared" si="72"/>
        <v>0</v>
      </c>
      <c r="P157" s="312">
        <f t="shared" si="72"/>
        <v>0</v>
      </c>
      <c r="Q157" s="322">
        <f t="shared" si="72"/>
        <v>0</v>
      </c>
      <c r="R157" s="322">
        <f t="shared" si="72"/>
        <v>0</v>
      </c>
      <c r="S157" s="312">
        <f t="shared" si="72"/>
        <v>0</v>
      </c>
      <c r="T157" s="312">
        <f t="shared" si="72"/>
        <v>0</v>
      </c>
      <c r="U157" s="132">
        <f t="shared" si="69"/>
        <v>0</v>
      </c>
      <c r="V157" s="132">
        <f t="shared" si="70"/>
        <v>0</v>
      </c>
    </row>
    <row r="158" spans="1:22" s="77" customFormat="1" ht="63" customHeight="1" outlineLevel="1" x14ac:dyDescent="0.25">
      <c r="A158" s="74" t="s">
        <v>115</v>
      </c>
      <c r="B158" s="75" t="s">
        <v>22</v>
      </c>
      <c r="C158" s="75" t="s">
        <v>18</v>
      </c>
      <c r="D158" s="75" t="s">
        <v>25</v>
      </c>
      <c r="E158" s="75" t="s">
        <v>373</v>
      </c>
      <c r="F158" s="75" t="s">
        <v>113</v>
      </c>
      <c r="G158" s="311"/>
      <c r="H158" s="311"/>
      <c r="I158" s="320"/>
      <c r="J158" s="320"/>
      <c r="K158" s="409"/>
      <c r="L158" s="409"/>
      <c r="M158" s="323"/>
      <c r="N158" s="323"/>
      <c r="O158" s="313"/>
      <c r="P158" s="313"/>
      <c r="Q158" s="323"/>
      <c r="R158" s="323"/>
      <c r="S158" s="313"/>
      <c r="T158" s="313"/>
      <c r="U158" s="131">
        <f t="shared" si="69"/>
        <v>0</v>
      </c>
      <c r="V158" s="131">
        <f t="shared" si="70"/>
        <v>0</v>
      </c>
    </row>
    <row r="159" spans="1:22" s="77" customFormat="1" ht="31.5" x14ac:dyDescent="0.25">
      <c r="A159" s="74" t="s">
        <v>48</v>
      </c>
      <c r="B159" s="75" t="s">
        <v>49</v>
      </c>
      <c r="C159" s="75" t="s">
        <v>10</v>
      </c>
      <c r="D159" s="75" t="s">
        <v>10</v>
      </c>
      <c r="E159" s="75" t="s">
        <v>365</v>
      </c>
      <c r="F159" s="75" t="s">
        <v>9</v>
      </c>
      <c r="G159" s="311">
        <f t="shared" ref="G159:O159" si="73">G160+G189+G218+G228+G194+G223+G207+G213</f>
        <v>5700</v>
      </c>
      <c r="H159" s="311">
        <f>H160+H189+H218+H228+H194+H223+H207+H213</f>
        <v>56631.479999999996</v>
      </c>
      <c r="I159" s="320">
        <f t="shared" si="73"/>
        <v>5700</v>
      </c>
      <c r="J159" s="320">
        <f>J160+J189+J218+J228+J194+J223+J207+J213</f>
        <v>62302.45</v>
      </c>
      <c r="K159" s="407">
        <f t="shared" si="73"/>
        <v>0</v>
      </c>
      <c r="L159" s="407">
        <f t="shared" si="73"/>
        <v>0</v>
      </c>
      <c r="M159" s="321">
        <f t="shared" si="73"/>
        <v>0</v>
      </c>
      <c r="N159" s="321">
        <f t="shared" si="73"/>
        <v>0</v>
      </c>
      <c r="O159" s="310">
        <f t="shared" si="73"/>
        <v>0</v>
      </c>
      <c r="P159" s="310">
        <f>P160+P189+P218+P228+P194+P223+P207+P213</f>
        <v>0</v>
      </c>
      <c r="Q159" s="321">
        <f>Q160+Q189+Q218+Q228+Q194+Q223+Q207+Q213</f>
        <v>0</v>
      </c>
      <c r="R159" s="321">
        <f>R160+R189+R218+R228+R194+R223+R207+R213</f>
        <v>0</v>
      </c>
      <c r="S159" s="310">
        <f>S160+S189+S218+S228+S194+S223+S207+S213</f>
        <v>0</v>
      </c>
      <c r="T159" s="310">
        <f>T160+T189+T218+T228+T194+T223+T207+T213</f>
        <v>0</v>
      </c>
      <c r="U159" s="131">
        <f t="shared" si="69"/>
        <v>62331.479999999996</v>
      </c>
      <c r="V159" s="131">
        <f t="shared" si="70"/>
        <v>68002.45</v>
      </c>
    </row>
    <row r="160" spans="1:22" s="77" customFormat="1" x14ac:dyDescent="0.25">
      <c r="A160" s="74" t="s">
        <v>23</v>
      </c>
      <c r="B160" s="75" t="s">
        <v>49</v>
      </c>
      <c r="C160" s="75" t="s">
        <v>14</v>
      </c>
      <c r="D160" s="75" t="s">
        <v>10</v>
      </c>
      <c r="E160" s="75" t="s">
        <v>365</v>
      </c>
      <c r="F160" s="75" t="s">
        <v>9</v>
      </c>
      <c r="G160" s="311">
        <f t="shared" ref="G160:O160" si="74">G161+G170+G175</f>
        <v>0</v>
      </c>
      <c r="H160" s="311">
        <f>H161+H170+H175</f>
        <v>13327.68</v>
      </c>
      <c r="I160" s="320">
        <f t="shared" si="74"/>
        <v>0</v>
      </c>
      <c r="J160" s="320">
        <f>J161+J170+J175</f>
        <v>19691.76123</v>
      </c>
      <c r="K160" s="407">
        <f t="shared" si="74"/>
        <v>0</v>
      </c>
      <c r="L160" s="407">
        <f t="shared" si="74"/>
        <v>0</v>
      </c>
      <c r="M160" s="321">
        <f t="shared" si="74"/>
        <v>0</v>
      </c>
      <c r="N160" s="321">
        <f t="shared" si="74"/>
        <v>0</v>
      </c>
      <c r="O160" s="310">
        <f t="shared" si="74"/>
        <v>0</v>
      </c>
      <c r="P160" s="310">
        <f>P161+P170+P175</f>
        <v>0</v>
      </c>
      <c r="Q160" s="321">
        <f>Q161+Q170+Q175</f>
        <v>0</v>
      </c>
      <c r="R160" s="321">
        <f>R161+R170+R175</f>
        <v>0</v>
      </c>
      <c r="S160" s="310">
        <f>S161+S170+S175</f>
        <v>0</v>
      </c>
      <c r="T160" s="310">
        <f>T161+T170+T175</f>
        <v>0</v>
      </c>
      <c r="U160" s="131">
        <f t="shared" si="69"/>
        <v>13327.68</v>
      </c>
      <c r="V160" s="131">
        <f t="shared" si="70"/>
        <v>19691.76123</v>
      </c>
    </row>
    <row r="161" spans="1:22" s="80" customFormat="1" ht="47.25" x14ac:dyDescent="0.25">
      <c r="A161" s="78" t="s">
        <v>24</v>
      </c>
      <c r="B161" s="79" t="s">
        <v>49</v>
      </c>
      <c r="C161" s="79" t="s">
        <v>14</v>
      </c>
      <c r="D161" s="79" t="s">
        <v>25</v>
      </c>
      <c r="E161" s="79" t="s">
        <v>365</v>
      </c>
      <c r="F161" s="79" t="s">
        <v>9</v>
      </c>
      <c r="G161" s="316">
        <f t="shared" ref="G161:T161" si="75">G162</f>
        <v>0</v>
      </c>
      <c r="H161" s="316">
        <f t="shared" si="75"/>
        <v>5984.7</v>
      </c>
      <c r="I161" s="338">
        <f t="shared" si="75"/>
        <v>0</v>
      </c>
      <c r="J161" s="338">
        <f t="shared" si="75"/>
        <v>5984.7</v>
      </c>
      <c r="K161" s="408">
        <f t="shared" si="75"/>
        <v>0</v>
      </c>
      <c r="L161" s="408">
        <f t="shared" si="75"/>
        <v>0</v>
      </c>
      <c r="M161" s="322">
        <f t="shared" si="75"/>
        <v>0</v>
      </c>
      <c r="N161" s="322">
        <f t="shared" si="75"/>
        <v>0</v>
      </c>
      <c r="O161" s="312">
        <f t="shared" si="75"/>
        <v>0</v>
      </c>
      <c r="P161" s="312">
        <f t="shared" si="75"/>
        <v>0</v>
      </c>
      <c r="Q161" s="322">
        <f t="shared" si="75"/>
        <v>0</v>
      </c>
      <c r="R161" s="322">
        <f t="shared" si="75"/>
        <v>0</v>
      </c>
      <c r="S161" s="312">
        <f t="shared" si="75"/>
        <v>0</v>
      </c>
      <c r="T161" s="312">
        <f t="shared" si="75"/>
        <v>0</v>
      </c>
      <c r="U161" s="132">
        <f t="shared" si="69"/>
        <v>5984.7</v>
      </c>
      <c r="V161" s="132">
        <f t="shared" si="70"/>
        <v>5984.7</v>
      </c>
    </row>
    <row r="162" spans="1:22" s="80" customFormat="1" ht="31.5" x14ac:dyDescent="0.25">
      <c r="A162" s="78" t="s">
        <v>785</v>
      </c>
      <c r="B162" s="79" t="s">
        <v>49</v>
      </c>
      <c r="C162" s="79" t="s">
        <v>14</v>
      </c>
      <c r="D162" s="79" t="s">
        <v>25</v>
      </c>
      <c r="E162" s="79" t="s">
        <v>389</v>
      </c>
      <c r="F162" s="79" t="s">
        <v>9</v>
      </c>
      <c r="G162" s="316">
        <f t="shared" ref="G162:O162" si="76">G163+G167</f>
        <v>0</v>
      </c>
      <c r="H162" s="316">
        <f>H163+H167</f>
        <v>5984.7</v>
      </c>
      <c r="I162" s="338">
        <f t="shared" si="76"/>
        <v>0</v>
      </c>
      <c r="J162" s="338">
        <f>J163+J167</f>
        <v>5984.7</v>
      </c>
      <c r="K162" s="408">
        <f t="shared" si="76"/>
        <v>0</v>
      </c>
      <c r="L162" s="408">
        <f t="shared" si="76"/>
        <v>0</v>
      </c>
      <c r="M162" s="322">
        <f t="shared" si="76"/>
        <v>0</v>
      </c>
      <c r="N162" s="322">
        <f t="shared" si="76"/>
        <v>0</v>
      </c>
      <c r="O162" s="312">
        <f t="shared" si="76"/>
        <v>0</v>
      </c>
      <c r="P162" s="312">
        <f>P163+P167</f>
        <v>0</v>
      </c>
      <c r="Q162" s="322">
        <f>Q163+Q167</f>
        <v>0</v>
      </c>
      <c r="R162" s="322">
        <f>R163+R167</f>
        <v>0</v>
      </c>
      <c r="S162" s="312">
        <f>S163+S167</f>
        <v>0</v>
      </c>
      <c r="T162" s="312">
        <f>T163+T167</f>
        <v>0</v>
      </c>
      <c r="U162" s="132">
        <f t="shared" si="69"/>
        <v>5984.7</v>
      </c>
      <c r="V162" s="132">
        <f t="shared" si="70"/>
        <v>5984.7</v>
      </c>
    </row>
    <row r="163" spans="1:22" s="80" customFormat="1" ht="31.5" x14ac:dyDescent="0.25">
      <c r="A163" s="78" t="s">
        <v>700</v>
      </c>
      <c r="B163" s="79" t="s">
        <v>49</v>
      </c>
      <c r="C163" s="79" t="s">
        <v>14</v>
      </c>
      <c r="D163" s="79" t="s">
        <v>25</v>
      </c>
      <c r="E163" s="79" t="s">
        <v>390</v>
      </c>
      <c r="F163" s="79" t="s">
        <v>9</v>
      </c>
      <c r="G163" s="316">
        <f t="shared" ref="G163:T163" si="77">G164</f>
        <v>0</v>
      </c>
      <c r="H163" s="316">
        <f t="shared" si="77"/>
        <v>5674.7</v>
      </c>
      <c r="I163" s="338">
        <f t="shared" si="77"/>
        <v>0</v>
      </c>
      <c r="J163" s="338">
        <f t="shared" si="77"/>
        <v>5674.7</v>
      </c>
      <c r="K163" s="408">
        <f t="shared" si="77"/>
        <v>0</v>
      </c>
      <c r="L163" s="408">
        <f t="shared" si="77"/>
        <v>0</v>
      </c>
      <c r="M163" s="322">
        <f t="shared" si="77"/>
        <v>0</v>
      </c>
      <c r="N163" s="322">
        <f t="shared" si="77"/>
        <v>0</v>
      </c>
      <c r="O163" s="312">
        <f t="shared" si="77"/>
        <v>0</v>
      </c>
      <c r="P163" s="312">
        <f t="shared" si="77"/>
        <v>0</v>
      </c>
      <c r="Q163" s="322">
        <f t="shared" si="77"/>
        <v>0</v>
      </c>
      <c r="R163" s="322">
        <f t="shared" si="77"/>
        <v>0</v>
      </c>
      <c r="S163" s="312">
        <f t="shared" si="77"/>
        <v>0</v>
      </c>
      <c r="T163" s="312">
        <f t="shared" si="77"/>
        <v>0</v>
      </c>
      <c r="U163" s="132">
        <f t="shared" si="69"/>
        <v>5674.7</v>
      </c>
      <c r="V163" s="132">
        <f t="shared" si="70"/>
        <v>5674.7</v>
      </c>
    </row>
    <row r="164" spans="1:22" s="80" customFormat="1" x14ac:dyDescent="0.25">
      <c r="A164" s="78" t="s">
        <v>26</v>
      </c>
      <c r="B164" s="79" t="s">
        <v>49</v>
      </c>
      <c r="C164" s="79" t="s">
        <v>14</v>
      </c>
      <c r="D164" s="79" t="s">
        <v>25</v>
      </c>
      <c r="E164" s="79" t="s">
        <v>391</v>
      </c>
      <c r="F164" s="79" t="s">
        <v>9</v>
      </c>
      <c r="G164" s="316">
        <f t="shared" ref="G164:O164" si="78">G165+G166</f>
        <v>0</v>
      </c>
      <c r="H164" s="316">
        <f>H165+H166</f>
        <v>5674.7</v>
      </c>
      <c r="I164" s="338">
        <f t="shared" si="78"/>
        <v>0</v>
      </c>
      <c r="J164" s="338">
        <f>J165+J166</f>
        <v>5674.7</v>
      </c>
      <c r="K164" s="408">
        <f t="shared" si="78"/>
        <v>0</v>
      </c>
      <c r="L164" s="408">
        <f t="shared" si="78"/>
        <v>0</v>
      </c>
      <c r="M164" s="322">
        <f t="shared" si="78"/>
        <v>0</v>
      </c>
      <c r="N164" s="322">
        <f t="shared" si="78"/>
        <v>0</v>
      </c>
      <c r="O164" s="312">
        <f t="shared" si="78"/>
        <v>0</v>
      </c>
      <c r="P164" s="312">
        <f>P165+P166</f>
        <v>0</v>
      </c>
      <c r="Q164" s="322">
        <f>Q165+Q166</f>
        <v>0</v>
      </c>
      <c r="R164" s="322">
        <f>R165+R166</f>
        <v>0</v>
      </c>
      <c r="S164" s="312">
        <f>S165+S166</f>
        <v>0</v>
      </c>
      <c r="T164" s="312">
        <f>T165+T166</f>
        <v>0</v>
      </c>
      <c r="U164" s="132">
        <f t="shared" si="69"/>
        <v>5674.7</v>
      </c>
      <c r="V164" s="132">
        <f t="shared" si="70"/>
        <v>5674.7</v>
      </c>
    </row>
    <row r="165" spans="1:22" s="77" customFormat="1" ht="63" x14ac:dyDescent="0.25">
      <c r="A165" s="74" t="s">
        <v>115</v>
      </c>
      <c r="B165" s="75" t="s">
        <v>49</v>
      </c>
      <c r="C165" s="75" t="s">
        <v>14</v>
      </c>
      <c r="D165" s="75" t="s">
        <v>25</v>
      </c>
      <c r="E165" s="75" t="s">
        <v>391</v>
      </c>
      <c r="F165" s="75" t="s">
        <v>113</v>
      </c>
      <c r="G165" s="311"/>
      <c r="H165" s="311">
        <v>5620.3</v>
      </c>
      <c r="I165" s="320"/>
      <c r="J165" s="320">
        <v>5620.3</v>
      </c>
      <c r="K165" s="409"/>
      <c r="L165" s="409"/>
      <c r="M165" s="323"/>
      <c r="N165" s="323"/>
      <c r="O165" s="313"/>
      <c r="P165" s="313"/>
      <c r="Q165" s="323"/>
      <c r="R165" s="323"/>
      <c r="S165" s="313"/>
      <c r="T165" s="313"/>
      <c r="U165" s="131">
        <f t="shared" si="69"/>
        <v>5620.3</v>
      </c>
      <c r="V165" s="131">
        <f t="shared" si="70"/>
        <v>5620.3</v>
      </c>
    </row>
    <row r="166" spans="1:22" s="77" customFormat="1" ht="31.5" customHeight="1" outlineLevel="1" x14ac:dyDescent="0.25">
      <c r="A166" s="74" t="s">
        <v>124</v>
      </c>
      <c r="B166" s="75" t="s">
        <v>49</v>
      </c>
      <c r="C166" s="75" t="s">
        <v>14</v>
      </c>
      <c r="D166" s="75" t="s">
        <v>25</v>
      </c>
      <c r="E166" s="75" t="s">
        <v>391</v>
      </c>
      <c r="F166" s="75" t="s">
        <v>117</v>
      </c>
      <c r="G166" s="311"/>
      <c r="H166" s="311">
        <f>44+10.4</f>
        <v>54.4</v>
      </c>
      <c r="I166" s="320"/>
      <c r="J166" s="320">
        <f>44+10.4</f>
        <v>54.4</v>
      </c>
      <c r="K166" s="409"/>
      <c r="L166" s="409"/>
      <c r="M166" s="323"/>
      <c r="N166" s="323"/>
      <c r="O166" s="313"/>
      <c r="P166" s="313"/>
      <c r="Q166" s="323"/>
      <c r="R166" s="323"/>
      <c r="S166" s="313"/>
      <c r="T166" s="313"/>
      <c r="U166" s="131">
        <f t="shared" si="69"/>
        <v>54.4</v>
      </c>
      <c r="V166" s="131">
        <f t="shared" si="70"/>
        <v>54.4</v>
      </c>
    </row>
    <row r="167" spans="1:22" s="80" customFormat="1" x14ac:dyDescent="0.25">
      <c r="A167" s="78" t="s">
        <v>127</v>
      </c>
      <c r="B167" s="79" t="s">
        <v>49</v>
      </c>
      <c r="C167" s="79" t="s">
        <v>14</v>
      </c>
      <c r="D167" s="79" t="s">
        <v>25</v>
      </c>
      <c r="E167" s="79" t="s">
        <v>392</v>
      </c>
      <c r="F167" s="79" t="s">
        <v>9</v>
      </c>
      <c r="G167" s="316">
        <f t="shared" ref="G167:T168" si="79">G168</f>
        <v>0</v>
      </c>
      <c r="H167" s="316">
        <f t="shared" si="79"/>
        <v>310</v>
      </c>
      <c r="I167" s="338">
        <f t="shared" si="79"/>
        <v>0</v>
      </c>
      <c r="J167" s="338">
        <f t="shared" si="79"/>
        <v>310</v>
      </c>
      <c r="K167" s="408">
        <f t="shared" si="79"/>
        <v>0</v>
      </c>
      <c r="L167" s="408">
        <f t="shared" si="79"/>
        <v>0</v>
      </c>
      <c r="M167" s="322">
        <f t="shared" si="79"/>
        <v>0</v>
      </c>
      <c r="N167" s="322">
        <f t="shared" si="79"/>
        <v>0</v>
      </c>
      <c r="O167" s="312">
        <f t="shared" si="79"/>
        <v>0</v>
      </c>
      <c r="P167" s="312">
        <f t="shared" si="79"/>
        <v>0</v>
      </c>
      <c r="Q167" s="322">
        <f t="shared" si="79"/>
        <v>0</v>
      </c>
      <c r="R167" s="322">
        <f t="shared" si="79"/>
        <v>0</v>
      </c>
      <c r="S167" s="312">
        <f t="shared" si="79"/>
        <v>0</v>
      </c>
      <c r="T167" s="312">
        <f t="shared" si="79"/>
        <v>0</v>
      </c>
      <c r="U167" s="132">
        <f t="shared" si="69"/>
        <v>310</v>
      </c>
      <c r="V167" s="132">
        <f t="shared" si="70"/>
        <v>310</v>
      </c>
    </row>
    <row r="168" spans="1:22" s="80" customFormat="1" ht="31.5" x14ac:dyDescent="0.25">
      <c r="A168" s="78" t="s">
        <v>16</v>
      </c>
      <c r="B168" s="79" t="s">
        <v>49</v>
      </c>
      <c r="C168" s="79" t="s">
        <v>14</v>
      </c>
      <c r="D168" s="79" t="s">
        <v>25</v>
      </c>
      <c r="E168" s="79" t="s">
        <v>393</v>
      </c>
      <c r="F168" s="79" t="s">
        <v>9</v>
      </c>
      <c r="G168" s="316">
        <f t="shared" si="79"/>
        <v>0</v>
      </c>
      <c r="H168" s="316">
        <f t="shared" si="79"/>
        <v>310</v>
      </c>
      <c r="I168" s="338">
        <f t="shared" si="79"/>
        <v>0</v>
      </c>
      <c r="J168" s="338">
        <f t="shared" si="79"/>
        <v>310</v>
      </c>
      <c r="K168" s="408">
        <f t="shared" si="79"/>
        <v>0</v>
      </c>
      <c r="L168" s="408">
        <f t="shared" si="79"/>
        <v>0</v>
      </c>
      <c r="M168" s="322">
        <f t="shared" si="79"/>
        <v>0</v>
      </c>
      <c r="N168" s="322">
        <f t="shared" si="79"/>
        <v>0</v>
      </c>
      <c r="O168" s="312">
        <f t="shared" si="79"/>
        <v>0</v>
      </c>
      <c r="P168" s="312">
        <f t="shared" si="79"/>
        <v>0</v>
      </c>
      <c r="Q168" s="322">
        <f t="shared" si="79"/>
        <v>0</v>
      </c>
      <c r="R168" s="322">
        <f t="shared" si="79"/>
        <v>0</v>
      </c>
      <c r="S168" s="312">
        <f t="shared" si="79"/>
        <v>0</v>
      </c>
      <c r="T168" s="312">
        <f t="shared" si="79"/>
        <v>0</v>
      </c>
      <c r="U168" s="132">
        <f t="shared" si="69"/>
        <v>310</v>
      </c>
      <c r="V168" s="132">
        <f t="shared" si="70"/>
        <v>310</v>
      </c>
    </row>
    <row r="169" spans="1:22" s="77" customFormat="1" ht="63" x14ac:dyDescent="0.25">
      <c r="A169" s="74" t="s">
        <v>115</v>
      </c>
      <c r="B169" s="75" t="s">
        <v>49</v>
      </c>
      <c r="C169" s="75" t="s">
        <v>14</v>
      </c>
      <c r="D169" s="75" t="s">
        <v>25</v>
      </c>
      <c r="E169" s="75" t="s">
        <v>393</v>
      </c>
      <c r="F169" s="75" t="s">
        <v>113</v>
      </c>
      <c r="G169" s="311"/>
      <c r="H169" s="311">
        <v>310</v>
      </c>
      <c r="I169" s="320"/>
      <c r="J169" s="320">
        <v>310</v>
      </c>
      <c r="K169" s="409"/>
      <c r="L169" s="409"/>
      <c r="M169" s="323"/>
      <c r="N169" s="323"/>
      <c r="O169" s="313"/>
      <c r="P169" s="313"/>
      <c r="Q169" s="323"/>
      <c r="R169" s="323"/>
      <c r="S169" s="313"/>
      <c r="T169" s="313"/>
      <c r="U169" s="131">
        <f t="shared" si="69"/>
        <v>310</v>
      </c>
      <c r="V169" s="131">
        <f t="shared" si="70"/>
        <v>310</v>
      </c>
    </row>
    <row r="170" spans="1:22" s="80" customFormat="1" x14ac:dyDescent="0.25">
      <c r="A170" s="78" t="s">
        <v>50</v>
      </c>
      <c r="B170" s="79" t="s">
        <v>49</v>
      </c>
      <c r="C170" s="79" t="s">
        <v>14</v>
      </c>
      <c r="D170" s="79" t="s">
        <v>51</v>
      </c>
      <c r="E170" s="79" t="s">
        <v>365</v>
      </c>
      <c r="F170" s="79" t="s">
        <v>9</v>
      </c>
      <c r="G170" s="316">
        <f t="shared" ref="G170:T173" si="80">G171</f>
        <v>0</v>
      </c>
      <c r="H170" s="316">
        <f t="shared" si="80"/>
        <v>100</v>
      </c>
      <c r="I170" s="338">
        <f t="shared" si="80"/>
        <v>0</v>
      </c>
      <c r="J170" s="338">
        <f t="shared" si="80"/>
        <v>100</v>
      </c>
      <c r="K170" s="408">
        <f t="shared" si="80"/>
        <v>0</v>
      </c>
      <c r="L170" s="408">
        <f t="shared" si="80"/>
        <v>0</v>
      </c>
      <c r="M170" s="322">
        <f t="shared" si="80"/>
        <v>0</v>
      </c>
      <c r="N170" s="322">
        <f t="shared" si="80"/>
        <v>0</v>
      </c>
      <c r="O170" s="312">
        <f t="shared" si="80"/>
        <v>0</v>
      </c>
      <c r="P170" s="312">
        <f t="shared" si="80"/>
        <v>0</v>
      </c>
      <c r="Q170" s="322">
        <f t="shared" si="80"/>
        <v>0</v>
      </c>
      <c r="R170" s="322">
        <f t="shared" si="80"/>
        <v>0</v>
      </c>
      <c r="S170" s="312">
        <f t="shared" si="80"/>
        <v>0</v>
      </c>
      <c r="T170" s="312">
        <f t="shared" si="80"/>
        <v>0</v>
      </c>
      <c r="U170" s="132">
        <f t="shared" si="69"/>
        <v>100</v>
      </c>
      <c r="V170" s="132">
        <f t="shared" si="70"/>
        <v>100</v>
      </c>
    </row>
    <row r="171" spans="1:22" s="80" customFormat="1" ht="31.5" x14ac:dyDescent="0.25">
      <c r="A171" s="78" t="s">
        <v>784</v>
      </c>
      <c r="B171" s="79" t="s">
        <v>49</v>
      </c>
      <c r="C171" s="79" t="s">
        <v>14</v>
      </c>
      <c r="D171" s="79" t="s">
        <v>51</v>
      </c>
      <c r="E171" s="79" t="s">
        <v>380</v>
      </c>
      <c r="F171" s="79" t="s">
        <v>9</v>
      </c>
      <c r="G171" s="316">
        <f t="shared" si="80"/>
        <v>0</v>
      </c>
      <c r="H171" s="316">
        <f t="shared" si="80"/>
        <v>100</v>
      </c>
      <c r="I171" s="338">
        <f t="shared" si="80"/>
        <v>0</v>
      </c>
      <c r="J171" s="338">
        <f t="shared" si="80"/>
        <v>100</v>
      </c>
      <c r="K171" s="408">
        <f t="shared" si="80"/>
        <v>0</v>
      </c>
      <c r="L171" s="408">
        <f t="shared" si="80"/>
        <v>0</v>
      </c>
      <c r="M171" s="322">
        <f t="shared" si="80"/>
        <v>0</v>
      </c>
      <c r="N171" s="322">
        <f t="shared" si="80"/>
        <v>0</v>
      </c>
      <c r="O171" s="312">
        <f t="shared" si="80"/>
        <v>0</v>
      </c>
      <c r="P171" s="312">
        <f t="shared" si="80"/>
        <v>0</v>
      </c>
      <c r="Q171" s="322">
        <f t="shared" si="80"/>
        <v>0</v>
      </c>
      <c r="R171" s="322">
        <f t="shared" si="80"/>
        <v>0</v>
      </c>
      <c r="S171" s="312">
        <f t="shared" si="80"/>
        <v>0</v>
      </c>
      <c r="T171" s="312">
        <f t="shared" si="80"/>
        <v>0</v>
      </c>
      <c r="U171" s="132">
        <f t="shared" si="69"/>
        <v>100</v>
      </c>
      <c r="V171" s="132">
        <f t="shared" si="70"/>
        <v>100</v>
      </c>
    </row>
    <row r="172" spans="1:22" s="80" customFormat="1" ht="31.5" x14ac:dyDescent="0.25">
      <c r="A172" s="78" t="s">
        <v>52</v>
      </c>
      <c r="B172" s="79" t="s">
        <v>49</v>
      </c>
      <c r="C172" s="79" t="s">
        <v>14</v>
      </c>
      <c r="D172" s="79" t="s">
        <v>51</v>
      </c>
      <c r="E172" s="79" t="s">
        <v>394</v>
      </c>
      <c r="F172" s="79" t="s">
        <v>9</v>
      </c>
      <c r="G172" s="316">
        <f t="shared" si="80"/>
        <v>0</v>
      </c>
      <c r="H172" s="316">
        <f t="shared" si="80"/>
        <v>100</v>
      </c>
      <c r="I172" s="338">
        <f t="shared" si="80"/>
        <v>0</v>
      </c>
      <c r="J172" s="338">
        <f t="shared" si="80"/>
        <v>100</v>
      </c>
      <c r="K172" s="408">
        <f t="shared" si="80"/>
        <v>0</v>
      </c>
      <c r="L172" s="408">
        <f t="shared" si="80"/>
        <v>0</v>
      </c>
      <c r="M172" s="322">
        <f t="shared" si="80"/>
        <v>0</v>
      </c>
      <c r="N172" s="322">
        <f t="shared" si="80"/>
        <v>0</v>
      </c>
      <c r="O172" s="312">
        <f t="shared" si="80"/>
        <v>0</v>
      </c>
      <c r="P172" s="312">
        <f t="shared" si="80"/>
        <v>0</v>
      </c>
      <c r="Q172" s="322">
        <f t="shared" si="80"/>
        <v>0</v>
      </c>
      <c r="R172" s="322">
        <f t="shared" si="80"/>
        <v>0</v>
      </c>
      <c r="S172" s="312">
        <f t="shared" si="80"/>
        <v>0</v>
      </c>
      <c r="T172" s="312">
        <f t="shared" si="80"/>
        <v>0</v>
      </c>
      <c r="U172" s="132">
        <f t="shared" si="69"/>
        <v>100</v>
      </c>
      <c r="V172" s="132">
        <f t="shared" si="70"/>
        <v>100</v>
      </c>
    </row>
    <row r="173" spans="1:22" s="80" customFormat="1" ht="47.25" x14ac:dyDescent="0.25">
      <c r="A173" s="78" t="s">
        <v>53</v>
      </c>
      <c r="B173" s="79" t="s">
        <v>49</v>
      </c>
      <c r="C173" s="79" t="s">
        <v>14</v>
      </c>
      <c r="D173" s="79" t="s">
        <v>51</v>
      </c>
      <c r="E173" s="79" t="s">
        <v>395</v>
      </c>
      <c r="F173" s="79" t="s">
        <v>9</v>
      </c>
      <c r="G173" s="316">
        <f t="shared" si="80"/>
        <v>0</v>
      </c>
      <c r="H173" s="316">
        <f t="shared" si="80"/>
        <v>100</v>
      </c>
      <c r="I173" s="338">
        <f t="shared" si="80"/>
        <v>0</v>
      </c>
      <c r="J173" s="338">
        <f t="shared" si="80"/>
        <v>100</v>
      </c>
      <c r="K173" s="408">
        <f t="shared" si="80"/>
        <v>0</v>
      </c>
      <c r="L173" s="408">
        <f t="shared" si="80"/>
        <v>0</v>
      </c>
      <c r="M173" s="322">
        <f t="shared" si="80"/>
        <v>0</v>
      </c>
      <c r="N173" s="322">
        <f t="shared" si="80"/>
        <v>0</v>
      </c>
      <c r="O173" s="312">
        <f t="shared" si="80"/>
        <v>0</v>
      </c>
      <c r="P173" s="312">
        <f t="shared" si="80"/>
        <v>0</v>
      </c>
      <c r="Q173" s="322">
        <f t="shared" si="80"/>
        <v>0</v>
      </c>
      <c r="R173" s="322">
        <f t="shared" si="80"/>
        <v>0</v>
      </c>
      <c r="S173" s="312">
        <f t="shared" si="80"/>
        <v>0</v>
      </c>
      <c r="T173" s="312">
        <f t="shared" si="80"/>
        <v>0</v>
      </c>
      <c r="U173" s="132">
        <f t="shared" si="69"/>
        <v>100</v>
      </c>
      <c r="V173" s="132">
        <f t="shared" si="70"/>
        <v>100</v>
      </c>
    </row>
    <row r="174" spans="1:22" s="77" customFormat="1" x14ac:dyDescent="0.25">
      <c r="A174" s="74" t="s">
        <v>116</v>
      </c>
      <c r="B174" s="75" t="s">
        <v>49</v>
      </c>
      <c r="C174" s="75" t="s">
        <v>14</v>
      </c>
      <c r="D174" s="75" t="s">
        <v>51</v>
      </c>
      <c r="E174" s="75" t="s">
        <v>395</v>
      </c>
      <c r="F174" s="75" t="s">
        <v>114</v>
      </c>
      <c r="G174" s="311"/>
      <c r="H174" s="311">
        <v>100</v>
      </c>
      <c r="I174" s="320"/>
      <c r="J174" s="320">
        <v>100</v>
      </c>
      <c r="K174" s="409"/>
      <c r="L174" s="409"/>
      <c r="M174" s="323"/>
      <c r="N174" s="323"/>
      <c r="O174" s="313"/>
      <c r="P174" s="313"/>
      <c r="Q174" s="323"/>
      <c r="R174" s="323"/>
      <c r="S174" s="313"/>
      <c r="T174" s="313"/>
      <c r="U174" s="131">
        <f t="shared" si="69"/>
        <v>100</v>
      </c>
      <c r="V174" s="131">
        <f t="shared" si="70"/>
        <v>100</v>
      </c>
    </row>
    <row r="175" spans="1:22" s="80" customFormat="1" x14ac:dyDescent="0.25">
      <c r="A175" s="78" t="s">
        <v>27</v>
      </c>
      <c r="B175" s="79" t="s">
        <v>49</v>
      </c>
      <c r="C175" s="79" t="s">
        <v>14</v>
      </c>
      <c r="D175" s="79" t="s">
        <v>28</v>
      </c>
      <c r="E175" s="79" t="s">
        <v>365</v>
      </c>
      <c r="F175" s="79" t="s">
        <v>9</v>
      </c>
      <c r="G175" s="316">
        <f t="shared" ref="G175:T175" si="81">G176</f>
        <v>0</v>
      </c>
      <c r="H175" s="316">
        <f t="shared" si="81"/>
        <v>7242.98</v>
      </c>
      <c r="I175" s="338">
        <f t="shared" si="81"/>
        <v>0</v>
      </c>
      <c r="J175" s="338">
        <f t="shared" si="81"/>
        <v>13607.061229999999</v>
      </c>
      <c r="K175" s="408">
        <f t="shared" si="81"/>
        <v>0</v>
      </c>
      <c r="L175" s="408">
        <f t="shared" si="81"/>
        <v>0</v>
      </c>
      <c r="M175" s="322">
        <f t="shared" si="81"/>
        <v>0</v>
      </c>
      <c r="N175" s="322">
        <f t="shared" si="81"/>
        <v>0</v>
      </c>
      <c r="O175" s="312">
        <f t="shared" si="81"/>
        <v>0</v>
      </c>
      <c r="P175" s="312">
        <f t="shared" si="81"/>
        <v>0</v>
      </c>
      <c r="Q175" s="322">
        <f t="shared" si="81"/>
        <v>0</v>
      </c>
      <c r="R175" s="322">
        <f t="shared" si="81"/>
        <v>0</v>
      </c>
      <c r="S175" s="312">
        <f t="shared" si="81"/>
        <v>0</v>
      </c>
      <c r="T175" s="312">
        <f t="shared" si="81"/>
        <v>0</v>
      </c>
      <c r="U175" s="132">
        <f t="shared" si="69"/>
        <v>7242.98</v>
      </c>
      <c r="V175" s="132">
        <f t="shared" si="70"/>
        <v>13607.061229999999</v>
      </c>
    </row>
    <row r="176" spans="1:22" s="80" customFormat="1" ht="31.5" x14ac:dyDescent="0.25">
      <c r="A176" s="78" t="s">
        <v>785</v>
      </c>
      <c r="B176" s="79" t="s">
        <v>49</v>
      </c>
      <c r="C176" s="79" t="s">
        <v>14</v>
      </c>
      <c r="D176" s="79" t="s">
        <v>28</v>
      </c>
      <c r="E176" s="79" t="s">
        <v>389</v>
      </c>
      <c r="F176" s="79" t="s">
        <v>9</v>
      </c>
      <c r="G176" s="316">
        <f t="shared" ref="G176:O176" si="82">G184+G187+G177</f>
        <v>0</v>
      </c>
      <c r="H176" s="316">
        <f>H184+H187+H177</f>
        <v>7242.98</v>
      </c>
      <c r="I176" s="338">
        <f t="shared" si="82"/>
        <v>0</v>
      </c>
      <c r="J176" s="338">
        <f>J184+J187+J177</f>
        <v>13607.061229999999</v>
      </c>
      <c r="K176" s="408">
        <f t="shared" si="82"/>
        <v>0</v>
      </c>
      <c r="L176" s="408">
        <f t="shared" si="82"/>
        <v>0</v>
      </c>
      <c r="M176" s="322">
        <f t="shared" si="82"/>
        <v>0</v>
      </c>
      <c r="N176" s="322">
        <f t="shared" si="82"/>
        <v>0</v>
      </c>
      <c r="O176" s="312">
        <f t="shared" si="82"/>
        <v>0</v>
      </c>
      <c r="P176" s="312">
        <f>P184+P187+P177</f>
        <v>0</v>
      </c>
      <c r="Q176" s="322">
        <f>Q184+Q187+Q177</f>
        <v>0</v>
      </c>
      <c r="R176" s="322">
        <f>R184+R187+R177</f>
        <v>0</v>
      </c>
      <c r="S176" s="312">
        <f>S184+S187+S177</f>
        <v>0</v>
      </c>
      <c r="T176" s="312">
        <f>T184+T187+T177</f>
        <v>0</v>
      </c>
      <c r="U176" s="132">
        <f t="shared" si="69"/>
        <v>7242.98</v>
      </c>
      <c r="V176" s="132">
        <f t="shared" si="70"/>
        <v>13607.061229999999</v>
      </c>
    </row>
    <row r="177" spans="1:22" s="80" customFormat="1" ht="31.5" x14ac:dyDescent="0.25">
      <c r="A177" s="78" t="s">
        <v>700</v>
      </c>
      <c r="B177" s="79" t="s">
        <v>49</v>
      </c>
      <c r="C177" s="79" t="s">
        <v>14</v>
      </c>
      <c r="D177" s="79" t="s">
        <v>28</v>
      </c>
      <c r="E177" s="79" t="s">
        <v>390</v>
      </c>
      <c r="F177" s="79" t="s">
        <v>9</v>
      </c>
      <c r="G177" s="316">
        <f>G178+G181</f>
        <v>0</v>
      </c>
      <c r="H177" s="316">
        <f t="shared" ref="H177:T177" si="83">H178+H181</f>
        <v>1103.8999999999999</v>
      </c>
      <c r="I177" s="316">
        <f t="shared" si="83"/>
        <v>0</v>
      </c>
      <c r="J177" s="316">
        <f t="shared" si="83"/>
        <v>1103.5112299999998</v>
      </c>
      <c r="K177" s="316">
        <f t="shared" si="83"/>
        <v>0</v>
      </c>
      <c r="L177" s="316">
        <f t="shared" si="83"/>
        <v>0</v>
      </c>
      <c r="M177" s="316">
        <f t="shared" si="83"/>
        <v>0</v>
      </c>
      <c r="N177" s="316">
        <f t="shared" si="83"/>
        <v>0</v>
      </c>
      <c r="O177" s="316">
        <f t="shared" si="83"/>
        <v>0</v>
      </c>
      <c r="P177" s="316">
        <f t="shared" si="83"/>
        <v>0</v>
      </c>
      <c r="Q177" s="316">
        <f t="shared" si="83"/>
        <v>0</v>
      </c>
      <c r="R177" s="316">
        <f t="shared" si="83"/>
        <v>0</v>
      </c>
      <c r="S177" s="316">
        <f t="shared" si="83"/>
        <v>0</v>
      </c>
      <c r="T177" s="316">
        <f t="shared" si="83"/>
        <v>0</v>
      </c>
      <c r="U177" s="132">
        <f t="shared" si="69"/>
        <v>1103.8999999999999</v>
      </c>
      <c r="V177" s="132">
        <f t="shared" si="70"/>
        <v>1103.5112299999998</v>
      </c>
    </row>
    <row r="178" spans="1:22" s="80" customFormat="1" ht="31.5" x14ac:dyDescent="0.25">
      <c r="A178" s="78" t="s">
        <v>950</v>
      </c>
      <c r="B178" s="79" t="s">
        <v>49</v>
      </c>
      <c r="C178" s="79" t="s">
        <v>14</v>
      </c>
      <c r="D178" s="79" t="s">
        <v>28</v>
      </c>
      <c r="E178" s="79" t="s">
        <v>951</v>
      </c>
      <c r="F178" s="79" t="s">
        <v>9</v>
      </c>
      <c r="G178" s="316">
        <f>G180+G179</f>
        <v>0</v>
      </c>
      <c r="H178" s="316">
        <f>H180+H179</f>
        <v>1103.8999999999999</v>
      </c>
      <c r="I178" s="338">
        <f t="shared" ref="I178:O178" si="84">I180+I179</f>
        <v>0</v>
      </c>
      <c r="J178" s="338">
        <f>J180+J179</f>
        <v>1103.5112299999998</v>
      </c>
      <c r="K178" s="408">
        <f t="shared" si="84"/>
        <v>0</v>
      </c>
      <c r="L178" s="408">
        <f t="shared" si="84"/>
        <v>0</v>
      </c>
      <c r="M178" s="322">
        <f t="shared" si="84"/>
        <v>0</v>
      </c>
      <c r="N178" s="322">
        <f t="shared" si="84"/>
        <v>0</v>
      </c>
      <c r="O178" s="312">
        <f t="shared" si="84"/>
        <v>0</v>
      </c>
      <c r="P178" s="312">
        <f>P180+P179</f>
        <v>0</v>
      </c>
      <c r="Q178" s="322">
        <f>Q180+Q179</f>
        <v>0</v>
      </c>
      <c r="R178" s="322">
        <f>R180+R179</f>
        <v>0</v>
      </c>
      <c r="S178" s="312">
        <f>S180+S179</f>
        <v>0</v>
      </c>
      <c r="T178" s="312">
        <f>T180+T179</f>
        <v>0</v>
      </c>
      <c r="U178" s="132">
        <f t="shared" si="69"/>
        <v>1103.8999999999999</v>
      </c>
      <c r="V178" s="132">
        <f t="shared" si="70"/>
        <v>1103.5112299999998</v>
      </c>
    </row>
    <row r="179" spans="1:22" s="77" customFormat="1" ht="66.75" customHeight="1" outlineLevel="1" x14ac:dyDescent="0.25">
      <c r="A179" s="74" t="s">
        <v>115</v>
      </c>
      <c r="B179" s="75" t="s">
        <v>49</v>
      </c>
      <c r="C179" s="75" t="s">
        <v>14</v>
      </c>
      <c r="D179" s="75" t="s">
        <v>28</v>
      </c>
      <c r="E179" s="75" t="s">
        <v>951</v>
      </c>
      <c r="F179" s="75" t="s">
        <v>113</v>
      </c>
      <c r="G179" s="311"/>
      <c r="H179" s="311"/>
      <c r="I179" s="320"/>
      <c r="J179" s="320"/>
      <c r="K179" s="407"/>
      <c r="L179" s="407"/>
      <c r="M179" s="321"/>
      <c r="N179" s="321"/>
      <c r="O179" s="310"/>
      <c r="P179" s="310"/>
      <c r="Q179" s="321"/>
      <c r="R179" s="321"/>
      <c r="S179" s="310"/>
      <c r="T179" s="310"/>
      <c r="U179" s="131">
        <f t="shared" si="69"/>
        <v>0</v>
      </c>
      <c r="V179" s="131">
        <f t="shared" si="70"/>
        <v>0</v>
      </c>
    </row>
    <row r="180" spans="1:22" s="80" customFormat="1" ht="31.5" x14ac:dyDescent="0.25">
      <c r="A180" s="264" t="s">
        <v>124</v>
      </c>
      <c r="B180" s="265" t="s">
        <v>49</v>
      </c>
      <c r="C180" s="265" t="s">
        <v>14</v>
      </c>
      <c r="D180" s="265" t="s">
        <v>28</v>
      </c>
      <c r="E180" s="265" t="s">
        <v>951</v>
      </c>
      <c r="F180" s="265" t="s">
        <v>117</v>
      </c>
      <c r="G180" s="311"/>
      <c r="H180" s="311">
        <f>1275.5+650+63+1000-1788.5-85.7-10.4</f>
        <v>1103.8999999999999</v>
      </c>
      <c r="I180" s="320"/>
      <c r="J180" s="320">
        <f>1275.5+650+63+1000-1788.5-86.08877-10.4</f>
        <v>1103.5112299999998</v>
      </c>
      <c r="K180" s="407"/>
      <c r="L180" s="407"/>
      <c r="M180" s="321"/>
      <c r="N180" s="321"/>
      <c r="O180" s="310"/>
      <c r="P180" s="310"/>
      <c r="Q180" s="321"/>
      <c r="R180" s="321"/>
      <c r="S180" s="310"/>
      <c r="T180" s="310"/>
      <c r="U180" s="131">
        <f t="shared" si="69"/>
        <v>1103.8999999999999</v>
      </c>
      <c r="V180" s="131">
        <f t="shared" si="70"/>
        <v>1103.5112299999998</v>
      </c>
    </row>
    <row r="181" spans="1:22" s="80" customFormat="1" ht="15.75" customHeight="1" x14ac:dyDescent="0.25">
      <c r="A181" s="267" t="s">
        <v>1178</v>
      </c>
      <c r="B181" s="79">
        <v>912</v>
      </c>
      <c r="C181" s="79" t="s">
        <v>14</v>
      </c>
      <c r="D181" s="79" t="s">
        <v>28</v>
      </c>
      <c r="E181" s="79" t="s">
        <v>1179</v>
      </c>
      <c r="F181" s="79" t="s">
        <v>9</v>
      </c>
      <c r="G181" s="311">
        <f>G182+G183</f>
        <v>0</v>
      </c>
      <c r="H181" s="311">
        <f t="shared" ref="H181:T181" si="85">H182+H183</f>
        <v>0</v>
      </c>
      <c r="I181" s="311">
        <f t="shared" si="85"/>
        <v>0</v>
      </c>
      <c r="J181" s="311">
        <f t="shared" si="85"/>
        <v>0</v>
      </c>
      <c r="K181" s="311">
        <f t="shared" si="85"/>
        <v>0</v>
      </c>
      <c r="L181" s="311">
        <f t="shared" si="85"/>
        <v>0</v>
      </c>
      <c r="M181" s="311">
        <f t="shared" si="85"/>
        <v>0</v>
      </c>
      <c r="N181" s="311">
        <f t="shared" si="85"/>
        <v>0</v>
      </c>
      <c r="O181" s="311">
        <f t="shared" si="85"/>
        <v>0</v>
      </c>
      <c r="P181" s="311">
        <f t="shared" si="85"/>
        <v>0</v>
      </c>
      <c r="Q181" s="311">
        <f t="shared" si="85"/>
        <v>0</v>
      </c>
      <c r="R181" s="311">
        <f t="shared" si="85"/>
        <v>0</v>
      </c>
      <c r="S181" s="311">
        <f t="shared" si="85"/>
        <v>0</v>
      </c>
      <c r="T181" s="311">
        <f t="shared" si="85"/>
        <v>0</v>
      </c>
      <c r="U181" s="132">
        <f t="shared" si="69"/>
        <v>0</v>
      </c>
      <c r="V181" s="132">
        <f t="shared" si="70"/>
        <v>0</v>
      </c>
    </row>
    <row r="182" spans="1:22" s="80" customFormat="1" ht="63" customHeight="1" x14ac:dyDescent="0.25">
      <c r="A182" s="74" t="s">
        <v>115</v>
      </c>
      <c r="B182" s="75" t="s">
        <v>49</v>
      </c>
      <c r="C182" s="75" t="s">
        <v>14</v>
      </c>
      <c r="D182" s="75" t="s">
        <v>28</v>
      </c>
      <c r="E182" s="75" t="s">
        <v>1179</v>
      </c>
      <c r="F182" s="75" t="s">
        <v>113</v>
      </c>
      <c r="G182" s="311"/>
      <c r="H182" s="311"/>
      <c r="I182" s="320"/>
      <c r="J182" s="320"/>
      <c r="K182" s="407"/>
      <c r="L182" s="407"/>
      <c r="M182" s="321"/>
      <c r="N182" s="321"/>
      <c r="O182" s="310"/>
      <c r="P182" s="310"/>
      <c r="Q182" s="321"/>
      <c r="R182" s="321"/>
      <c r="S182" s="310"/>
      <c r="T182" s="310"/>
      <c r="U182" s="131">
        <f t="shared" si="69"/>
        <v>0</v>
      </c>
      <c r="V182" s="131">
        <f t="shared" si="70"/>
        <v>0</v>
      </c>
    </row>
    <row r="183" spans="1:22" s="80" customFormat="1" ht="31.5" customHeight="1" x14ac:dyDescent="0.25">
      <c r="A183" s="264" t="s">
        <v>124</v>
      </c>
      <c r="B183" s="75" t="s">
        <v>49</v>
      </c>
      <c r="C183" s="75" t="s">
        <v>14</v>
      </c>
      <c r="D183" s="75" t="s">
        <v>28</v>
      </c>
      <c r="E183" s="75" t="s">
        <v>1179</v>
      </c>
      <c r="F183" s="75" t="s">
        <v>117</v>
      </c>
      <c r="G183" s="311"/>
      <c r="H183" s="311"/>
      <c r="I183" s="320"/>
      <c r="J183" s="320"/>
      <c r="K183" s="407"/>
      <c r="L183" s="407"/>
      <c r="M183" s="321"/>
      <c r="N183" s="321"/>
      <c r="O183" s="310"/>
      <c r="P183" s="310"/>
      <c r="Q183" s="321"/>
      <c r="R183" s="321"/>
      <c r="S183" s="310"/>
      <c r="T183" s="310"/>
      <c r="U183" s="131">
        <f t="shared" si="69"/>
        <v>0</v>
      </c>
      <c r="V183" s="131">
        <f t="shared" si="70"/>
        <v>0</v>
      </c>
    </row>
    <row r="184" spans="1:22" s="80" customFormat="1" ht="47.25" customHeight="1" outlineLevel="1" x14ac:dyDescent="0.25">
      <c r="A184" s="78" t="s">
        <v>1110</v>
      </c>
      <c r="B184" s="79" t="s">
        <v>49</v>
      </c>
      <c r="C184" s="79" t="s">
        <v>14</v>
      </c>
      <c r="D184" s="79" t="s">
        <v>28</v>
      </c>
      <c r="E184" s="79" t="s">
        <v>396</v>
      </c>
      <c r="F184" s="79" t="s">
        <v>9</v>
      </c>
      <c r="G184" s="316">
        <f t="shared" ref="G184:T185" si="86">G185</f>
        <v>0</v>
      </c>
      <c r="H184" s="316">
        <f t="shared" si="86"/>
        <v>0</v>
      </c>
      <c r="I184" s="338">
        <f t="shared" si="86"/>
        <v>0</v>
      </c>
      <c r="J184" s="338">
        <f t="shared" si="86"/>
        <v>0</v>
      </c>
      <c r="K184" s="408">
        <f t="shared" si="86"/>
        <v>0</v>
      </c>
      <c r="L184" s="408">
        <f t="shared" si="86"/>
        <v>0</v>
      </c>
      <c r="M184" s="322">
        <f t="shared" si="86"/>
        <v>0</v>
      </c>
      <c r="N184" s="322">
        <f t="shared" si="86"/>
        <v>0</v>
      </c>
      <c r="O184" s="312">
        <f t="shared" si="86"/>
        <v>0</v>
      </c>
      <c r="P184" s="312">
        <f t="shared" si="86"/>
        <v>0</v>
      </c>
      <c r="Q184" s="322">
        <f t="shared" si="86"/>
        <v>0</v>
      </c>
      <c r="R184" s="322">
        <f t="shared" si="86"/>
        <v>0</v>
      </c>
      <c r="S184" s="312">
        <f t="shared" si="86"/>
        <v>0</v>
      </c>
      <c r="T184" s="312">
        <f t="shared" si="86"/>
        <v>0</v>
      </c>
      <c r="U184" s="132">
        <f t="shared" si="69"/>
        <v>0</v>
      </c>
      <c r="V184" s="132">
        <f t="shared" si="70"/>
        <v>0</v>
      </c>
    </row>
    <row r="185" spans="1:22" s="80" customFormat="1" ht="31.5" customHeight="1" outlineLevel="1" x14ac:dyDescent="0.25">
      <c r="A185" s="78" t="s">
        <v>1112</v>
      </c>
      <c r="B185" s="79" t="s">
        <v>49</v>
      </c>
      <c r="C185" s="79" t="s">
        <v>14</v>
      </c>
      <c r="D185" s="79" t="s">
        <v>28</v>
      </c>
      <c r="E185" s="79" t="s">
        <v>397</v>
      </c>
      <c r="F185" s="79" t="s">
        <v>9</v>
      </c>
      <c r="G185" s="316">
        <f t="shared" si="86"/>
        <v>0</v>
      </c>
      <c r="H185" s="316">
        <f t="shared" si="86"/>
        <v>0</v>
      </c>
      <c r="I185" s="338">
        <f t="shared" si="86"/>
        <v>0</v>
      </c>
      <c r="J185" s="338">
        <f t="shared" si="86"/>
        <v>0</v>
      </c>
      <c r="K185" s="408">
        <f t="shared" si="86"/>
        <v>0</v>
      </c>
      <c r="L185" s="408">
        <f t="shared" si="86"/>
        <v>0</v>
      </c>
      <c r="M185" s="322">
        <f t="shared" si="86"/>
        <v>0</v>
      </c>
      <c r="N185" s="322">
        <f t="shared" si="86"/>
        <v>0</v>
      </c>
      <c r="O185" s="312">
        <f t="shared" si="86"/>
        <v>0</v>
      </c>
      <c r="P185" s="312">
        <f t="shared" si="86"/>
        <v>0</v>
      </c>
      <c r="Q185" s="322">
        <f t="shared" si="86"/>
        <v>0</v>
      </c>
      <c r="R185" s="322">
        <f t="shared" si="86"/>
        <v>0</v>
      </c>
      <c r="S185" s="312">
        <f t="shared" si="86"/>
        <v>0</v>
      </c>
      <c r="T185" s="312">
        <f t="shared" si="86"/>
        <v>0</v>
      </c>
      <c r="U185" s="132">
        <f t="shared" si="69"/>
        <v>0</v>
      </c>
      <c r="V185" s="132">
        <f t="shared" si="70"/>
        <v>0</v>
      </c>
    </row>
    <row r="186" spans="1:22" s="77" customFormat="1" ht="15.75" customHeight="1" outlineLevel="1" x14ac:dyDescent="0.25">
      <c r="A186" s="74" t="s">
        <v>123</v>
      </c>
      <c r="B186" s="75" t="s">
        <v>49</v>
      </c>
      <c r="C186" s="75" t="s">
        <v>14</v>
      </c>
      <c r="D186" s="75" t="s">
        <v>28</v>
      </c>
      <c r="E186" s="75" t="s">
        <v>397</v>
      </c>
      <c r="F186" s="75" t="s">
        <v>119</v>
      </c>
      <c r="G186" s="311"/>
      <c r="H186" s="311"/>
      <c r="I186" s="320"/>
      <c r="J186" s="320"/>
      <c r="K186" s="409"/>
      <c r="L186" s="409"/>
      <c r="M186" s="323"/>
      <c r="N186" s="323"/>
      <c r="O186" s="313"/>
      <c r="P186" s="313"/>
      <c r="Q186" s="323"/>
      <c r="R186" s="323"/>
      <c r="S186" s="313"/>
      <c r="T186" s="313"/>
      <c r="U186" s="131">
        <f t="shared" si="69"/>
        <v>0</v>
      </c>
      <c r="V186" s="131">
        <f t="shared" si="70"/>
        <v>0</v>
      </c>
    </row>
    <row r="187" spans="1:22" s="80" customFormat="1" ht="18.75" x14ac:dyDescent="0.25">
      <c r="A187" s="126" t="s">
        <v>559</v>
      </c>
      <c r="B187" s="79" t="s">
        <v>49</v>
      </c>
      <c r="C187" s="79" t="s">
        <v>14</v>
      </c>
      <c r="D187" s="79" t="s">
        <v>28</v>
      </c>
      <c r="E187" s="79" t="s">
        <v>558</v>
      </c>
      <c r="F187" s="79" t="s">
        <v>9</v>
      </c>
      <c r="G187" s="316">
        <f>G188</f>
        <v>0</v>
      </c>
      <c r="H187" s="316">
        <f>H188</f>
        <v>6139.08</v>
      </c>
      <c r="I187" s="338">
        <f>I188</f>
        <v>0</v>
      </c>
      <c r="J187" s="338">
        <f>J188</f>
        <v>12503.55</v>
      </c>
      <c r="K187" s="408">
        <f t="shared" ref="K187:T187" si="87">K188</f>
        <v>0</v>
      </c>
      <c r="L187" s="408">
        <f t="shared" si="87"/>
        <v>0</v>
      </c>
      <c r="M187" s="322">
        <f t="shared" si="87"/>
        <v>0</v>
      </c>
      <c r="N187" s="322">
        <f t="shared" si="87"/>
        <v>0</v>
      </c>
      <c r="O187" s="312">
        <f t="shared" si="87"/>
        <v>0</v>
      </c>
      <c r="P187" s="312">
        <f t="shared" si="87"/>
        <v>0</v>
      </c>
      <c r="Q187" s="322">
        <f t="shared" si="87"/>
        <v>0</v>
      </c>
      <c r="R187" s="322">
        <f t="shared" si="87"/>
        <v>0</v>
      </c>
      <c r="S187" s="312">
        <f t="shared" si="87"/>
        <v>0</v>
      </c>
      <c r="T187" s="312">
        <f t="shared" si="87"/>
        <v>0</v>
      </c>
      <c r="U187" s="132">
        <f t="shared" si="69"/>
        <v>6139.08</v>
      </c>
      <c r="V187" s="132">
        <f t="shared" si="70"/>
        <v>12503.55</v>
      </c>
    </row>
    <row r="188" spans="1:22" s="77" customFormat="1" x14ac:dyDescent="0.25">
      <c r="A188" s="74" t="s">
        <v>116</v>
      </c>
      <c r="B188" s="75" t="s">
        <v>49</v>
      </c>
      <c r="C188" s="75" t="s">
        <v>14</v>
      </c>
      <c r="D188" s="75" t="s">
        <v>28</v>
      </c>
      <c r="E188" s="75" t="s">
        <v>558</v>
      </c>
      <c r="F188" s="75" t="s">
        <v>114</v>
      </c>
      <c r="G188" s="316"/>
      <c r="H188" s="316">
        <v>6139.08</v>
      </c>
      <c r="I188" s="338"/>
      <c r="J188" s="338">
        <v>12503.55</v>
      </c>
      <c r="K188" s="409"/>
      <c r="L188" s="409"/>
      <c r="M188" s="323"/>
      <c r="N188" s="323"/>
      <c r="O188" s="313"/>
      <c r="P188" s="313"/>
      <c r="Q188" s="323"/>
      <c r="R188" s="323"/>
      <c r="S188" s="313"/>
      <c r="T188" s="313"/>
      <c r="U188" s="131">
        <f t="shared" si="69"/>
        <v>6139.08</v>
      </c>
      <c r="V188" s="131">
        <f t="shared" si="70"/>
        <v>12503.55</v>
      </c>
    </row>
    <row r="189" spans="1:22" s="77" customFormat="1" ht="15.75" customHeight="1" outlineLevel="1" x14ac:dyDescent="0.25">
      <c r="A189" s="74" t="s">
        <v>54</v>
      </c>
      <c r="B189" s="75" t="s">
        <v>49</v>
      </c>
      <c r="C189" s="75" t="s">
        <v>36</v>
      </c>
      <c r="D189" s="75" t="s">
        <v>10</v>
      </c>
      <c r="E189" s="75" t="s">
        <v>365</v>
      </c>
      <c r="F189" s="75" t="s">
        <v>9</v>
      </c>
      <c r="G189" s="311">
        <f t="shared" ref="G189:T192" si="88">G190</f>
        <v>0</v>
      </c>
      <c r="H189" s="311">
        <f t="shared" si="88"/>
        <v>0</v>
      </c>
      <c r="I189" s="320">
        <f t="shared" si="88"/>
        <v>0</v>
      </c>
      <c r="J189" s="320">
        <f t="shared" si="88"/>
        <v>0</v>
      </c>
      <c r="K189" s="407">
        <f t="shared" si="88"/>
        <v>0</v>
      </c>
      <c r="L189" s="407">
        <f t="shared" si="88"/>
        <v>0</v>
      </c>
      <c r="M189" s="321">
        <f t="shared" si="88"/>
        <v>0</v>
      </c>
      <c r="N189" s="321">
        <f t="shared" si="88"/>
        <v>0</v>
      </c>
      <c r="O189" s="310">
        <f t="shared" si="88"/>
        <v>0</v>
      </c>
      <c r="P189" s="310">
        <f t="shared" si="88"/>
        <v>0</v>
      </c>
      <c r="Q189" s="321">
        <f t="shared" si="88"/>
        <v>0</v>
      </c>
      <c r="R189" s="321">
        <f t="shared" si="88"/>
        <v>0</v>
      </c>
      <c r="S189" s="310">
        <f t="shared" si="88"/>
        <v>0</v>
      </c>
      <c r="T189" s="310">
        <f t="shared" si="88"/>
        <v>0</v>
      </c>
      <c r="U189" s="131">
        <f t="shared" si="69"/>
        <v>0</v>
      </c>
      <c r="V189" s="131">
        <f t="shared" si="70"/>
        <v>0</v>
      </c>
    </row>
    <row r="190" spans="1:22" s="80" customFormat="1" ht="15.75" customHeight="1" outlineLevel="1" x14ac:dyDescent="0.25">
      <c r="A190" s="78" t="s">
        <v>55</v>
      </c>
      <c r="B190" s="79" t="s">
        <v>49</v>
      </c>
      <c r="C190" s="79" t="s">
        <v>36</v>
      </c>
      <c r="D190" s="79" t="s">
        <v>20</v>
      </c>
      <c r="E190" s="79" t="s">
        <v>365</v>
      </c>
      <c r="F190" s="79" t="s">
        <v>9</v>
      </c>
      <c r="G190" s="316">
        <f t="shared" si="88"/>
        <v>0</v>
      </c>
      <c r="H190" s="316">
        <f t="shared" si="88"/>
        <v>0</v>
      </c>
      <c r="I190" s="338">
        <f t="shared" si="88"/>
        <v>0</v>
      </c>
      <c r="J190" s="338">
        <f t="shared" si="88"/>
        <v>0</v>
      </c>
      <c r="K190" s="408">
        <f t="shared" si="88"/>
        <v>0</v>
      </c>
      <c r="L190" s="408">
        <f t="shared" si="88"/>
        <v>0</v>
      </c>
      <c r="M190" s="322">
        <f t="shared" si="88"/>
        <v>0</v>
      </c>
      <c r="N190" s="322">
        <f t="shared" si="88"/>
        <v>0</v>
      </c>
      <c r="O190" s="312">
        <f t="shared" si="88"/>
        <v>0</v>
      </c>
      <c r="P190" s="312">
        <f t="shared" si="88"/>
        <v>0</v>
      </c>
      <c r="Q190" s="322">
        <f t="shared" si="88"/>
        <v>0</v>
      </c>
      <c r="R190" s="322">
        <f t="shared" si="88"/>
        <v>0</v>
      </c>
      <c r="S190" s="312">
        <f t="shared" si="88"/>
        <v>0</v>
      </c>
      <c r="T190" s="312">
        <f t="shared" si="88"/>
        <v>0</v>
      </c>
      <c r="U190" s="132">
        <f t="shared" si="69"/>
        <v>0</v>
      </c>
      <c r="V190" s="132">
        <f t="shared" si="70"/>
        <v>0</v>
      </c>
    </row>
    <row r="191" spans="1:22" s="80" customFormat="1" ht="31.5" customHeight="1" outlineLevel="1" x14ac:dyDescent="0.25">
      <c r="A191" s="78" t="s">
        <v>785</v>
      </c>
      <c r="B191" s="79" t="s">
        <v>49</v>
      </c>
      <c r="C191" s="79" t="s">
        <v>36</v>
      </c>
      <c r="D191" s="79" t="s">
        <v>20</v>
      </c>
      <c r="E191" s="79" t="s">
        <v>389</v>
      </c>
      <c r="F191" s="79" t="s">
        <v>9</v>
      </c>
      <c r="G191" s="316">
        <f t="shared" si="88"/>
        <v>0</v>
      </c>
      <c r="H191" s="316">
        <f t="shared" si="88"/>
        <v>0</v>
      </c>
      <c r="I191" s="338">
        <f t="shared" si="88"/>
        <v>0</v>
      </c>
      <c r="J191" s="338">
        <f t="shared" si="88"/>
        <v>0</v>
      </c>
      <c r="K191" s="408">
        <f t="shared" si="88"/>
        <v>0</v>
      </c>
      <c r="L191" s="408">
        <f t="shared" si="88"/>
        <v>0</v>
      </c>
      <c r="M191" s="322">
        <f t="shared" si="88"/>
        <v>0</v>
      </c>
      <c r="N191" s="322">
        <f t="shared" si="88"/>
        <v>0</v>
      </c>
      <c r="O191" s="312">
        <f t="shared" si="88"/>
        <v>0</v>
      </c>
      <c r="P191" s="312">
        <f t="shared" si="88"/>
        <v>0</v>
      </c>
      <c r="Q191" s="322">
        <f t="shared" si="88"/>
        <v>0</v>
      </c>
      <c r="R191" s="322">
        <f t="shared" si="88"/>
        <v>0</v>
      </c>
      <c r="S191" s="312">
        <f t="shared" si="88"/>
        <v>0</v>
      </c>
      <c r="T191" s="312">
        <f t="shared" si="88"/>
        <v>0</v>
      </c>
      <c r="U191" s="132">
        <f t="shared" si="69"/>
        <v>0</v>
      </c>
      <c r="V191" s="132">
        <f t="shared" si="70"/>
        <v>0</v>
      </c>
    </row>
    <row r="192" spans="1:22" s="80" customFormat="1" ht="31.5" customHeight="1" outlineLevel="1" x14ac:dyDescent="0.25">
      <c r="A192" s="78" t="s">
        <v>56</v>
      </c>
      <c r="B192" s="79" t="s">
        <v>49</v>
      </c>
      <c r="C192" s="79" t="s">
        <v>36</v>
      </c>
      <c r="D192" s="79" t="s">
        <v>20</v>
      </c>
      <c r="E192" s="79" t="s">
        <v>398</v>
      </c>
      <c r="F192" s="79" t="s">
        <v>9</v>
      </c>
      <c r="G192" s="316">
        <f t="shared" si="88"/>
        <v>0</v>
      </c>
      <c r="H192" s="316">
        <f t="shared" si="88"/>
        <v>0</v>
      </c>
      <c r="I192" s="338">
        <f t="shared" si="88"/>
        <v>0</v>
      </c>
      <c r="J192" s="338">
        <f t="shared" si="88"/>
        <v>0</v>
      </c>
      <c r="K192" s="408">
        <f t="shared" si="88"/>
        <v>0</v>
      </c>
      <c r="L192" s="408">
        <f t="shared" si="88"/>
        <v>0</v>
      </c>
      <c r="M192" s="322">
        <f t="shared" si="88"/>
        <v>0</v>
      </c>
      <c r="N192" s="322">
        <f t="shared" si="88"/>
        <v>0</v>
      </c>
      <c r="O192" s="312">
        <f t="shared" si="88"/>
        <v>0</v>
      </c>
      <c r="P192" s="312">
        <f t="shared" si="88"/>
        <v>0</v>
      </c>
      <c r="Q192" s="322">
        <f t="shared" si="88"/>
        <v>0</v>
      </c>
      <c r="R192" s="322">
        <f t="shared" si="88"/>
        <v>0</v>
      </c>
      <c r="S192" s="312">
        <f t="shared" si="88"/>
        <v>0</v>
      </c>
      <c r="T192" s="312">
        <f t="shared" si="88"/>
        <v>0</v>
      </c>
      <c r="U192" s="132">
        <f t="shared" si="69"/>
        <v>0</v>
      </c>
      <c r="V192" s="132">
        <f t="shared" si="70"/>
        <v>0</v>
      </c>
    </row>
    <row r="193" spans="1:22" s="77" customFormat="1" ht="15.75" customHeight="1" outlineLevel="1" x14ac:dyDescent="0.25">
      <c r="A193" s="74" t="s">
        <v>123</v>
      </c>
      <c r="B193" s="75" t="s">
        <v>49</v>
      </c>
      <c r="C193" s="75" t="s">
        <v>36</v>
      </c>
      <c r="D193" s="75" t="s">
        <v>20</v>
      </c>
      <c r="E193" s="75" t="s">
        <v>398</v>
      </c>
      <c r="F193" s="75" t="s">
        <v>119</v>
      </c>
      <c r="G193" s="311"/>
      <c r="H193" s="311"/>
      <c r="I193" s="320"/>
      <c r="J193" s="320"/>
      <c r="K193" s="409"/>
      <c r="L193" s="409"/>
      <c r="M193" s="323"/>
      <c r="N193" s="323"/>
      <c r="O193" s="313"/>
      <c r="P193" s="313"/>
      <c r="Q193" s="323"/>
      <c r="R193" s="323"/>
      <c r="S193" s="313"/>
      <c r="T193" s="313"/>
      <c r="U193" s="131">
        <f t="shared" si="69"/>
        <v>0</v>
      </c>
      <c r="V193" s="131">
        <f t="shared" si="70"/>
        <v>0</v>
      </c>
    </row>
    <row r="194" spans="1:22" s="77" customFormat="1" ht="18.75" customHeight="1" outlineLevel="1" x14ac:dyDescent="0.25">
      <c r="A194" s="127" t="s">
        <v>351</v>
      </c>
      <c r="B194" s="75" t="s">
        <v>49</v>
      </c>
      <c r="C194" s="75" t="s">
        <v>58</v>
      </c>
      <c r="D194" s="75" t="s">
        <v>10</v>
      </c>
      <c r="E194" s="75" t="s">
        <v>365</v>
      </c>
      <c r="F194" s="75" t="s">
        <v>9</v>
      </c>
      <c r="G194" s="311">
        <f t="shared" ref="G194:O194" si="89">G195+G199+G203</f>
        <v>0</v>
      </c>
      <c r="H194" s="311">
        <f>H195+H199+H203</f>
        <v>0</v>
      </c>
      <c r="I194" s="320">
        <f t="shared" si="89"/>
        <v>0</v>
      </c>
      <c r="J194" s="320">
        <f>J195+J199+J203</f>
        <v>0</v>
      </c>
      <c r="K194" s="407">
        <f t="shared" si="89"/>
        <v>0</v>
      </c>
      <c r="L194" s="407">
        <f t="shared" si="89"/>
        <v>0</v>
      </c>
      <c r="M194" s="321">
        <f t="shared" si="89"/>
        <v>0</v>
      </c>
      <c r="N194" s="321">
        <f t="shared" si="89"/>
        <v>0</v>
      </c>
      <c r="O194" s="310">
        <f t="shared" si="89"/>
        <v>0</v>
      </c>
      <c r="P194" s="310">
        <f>P195+P199+P203</f>
        <v>0</v>
      </c>
      <c r="Q194" s="321">
        <f>Q195+Q199+Q203</f>
        <v>0</v>
      </c>
      <c r="R194" s="321">
        <f>R195+R199+R203</f>
        <v>0</v>
      </c>
      <c r="S194" s="310">
        <f>S195+S199+S203</f>
        <v>0</v>
      </c>
      <c r="T194" s="310">
        <f>T195+T199+T203</f>
        <v>0</v>
      </c>
      <c r="U194" s="131">
        <f t="shared" si="69"/>
        <v>0</v>
      </c>
      <c r="V194" s="131">
        <f t="shared" si="70"/>
        <v>0</v>
      </c>
    </row>
    <row r="195" spans="1:22" s="80" customFormat="1" ht="15.75" customHeight="1" outlineLevel="1" x14ac:dyDescent="0.25">
      <c r="A195" s="78" t="s">
        <v>582</v>
      </c>
      <c r="B195" s="79" t="s">
        <v>49</v>
      </c>
      <c r="C195" s="79" t="s">
        <v>58</v>
      </c>
      <c r="D195" s="79" t="s">
        <v>14</v>
      </c>
      <c r="E195" s="79" t="s">
        <v>365</v>
      </c>
      <c r="F195" s="79" t="s">
        <v>9</v>
      </c>
      <c r="G195" s="316">
        <f t="shared" ref="G195:T197" si="90">G196</f>
        <v>0</v>
      </c>
      <c r="H195" s="316">
        <f t="shared" si="90"/>
        <v>0</v>
      </c>
      <c r="I195" s="338">
        <f t="shared" si="90"/>
        <v>0</v>
      </c>
      <c r="J195" s="338">
        <f t="shared" si="90"/>
        <v>0</v>
      </c>
      <c r="K195" s="408">
        <f t="shared" si="90"/>
        <v>0</v>
      </c>
      <c r="L195" s="408">
        <f t="shared" si="90"/>
        <v>0</v>
      </c>
      <c r="M195" s="322">
        <f t="shared" si="90"/>
        <v>0</v>
      </c>
      <c r="N195" s="322">
        <f t="shared" si="90"/>
        <v>0</v>
      </c>
      <c r="O195" s="312">
        <f t="shared" si="90"/>
        <v>0</v>
      </c>
      <c r="P195" s="312">
        <f t="shared" si="90"/>
        <v>0</v>
      </c>
      <c r="Q195" s="322">
        <f t="shared" si="90"/>
        <v>0</v>
      </c>
      <c r="R195" s="322">
        <f t="shared" si="90"/>
        <v>0</v>
      </c>
      <c r="S195" s="312">
        <f t="shared" si="90"/>
        <v>0</v>
      </c>
      <c r="T195" s="312">
        <f t="shared" si="90"/>
        <v>0</v>
      </c>
      <c r="U195" s="132">
        <f t="shared" si="69"/>
        <v>0</v>
      </c>
      <c r="V195" s="132">
        <f t="shared" si="70"/>
        <v>0</v>
      </c>
    </row>
    <row r="196" spans="1:22" s="80" customFormat="1" ht="31.5" customHeight="1" outlineLevel="1" x14ac:dyDescent="0.25">
      <c r="A196" s="78" t="s">
        <v>785</v>
      </c>
      <c r="B196" s="79" t="s">
        <v>49</v>
      </c>
      <c r="C196" s="79" t="s">
        <v>58</v>
      </c>
      <c r="D196" s="79" t="s">
        <v>14</v>
      </c>
      <c r="E196" s="79" t="s">
        <v>389</v>
      </c>
      <c r="F196" s="79" t="s">
        <v>9</v>
      </c>
      <c r="G196" s="316">
        <f t="shared" si="90"/>
        <v>0</v>
      </c>
      <c r="H196" s="316">
        <f t="shared" si="90"/>
        <v>0</v>
      </c>
      <c r="I196" s="338">
        <f t="shared" si="90"/>
        <v>0</v>
      </c>
      <c r="J196" s="338">
        <f t="shared" si="90"/>
        <v>0</v>
      </c>
      <c r="K196" s="408">
        <f t="shared" si="90"/>
        <v>0</v>
      </c>
      <c r="L196" s="408">
        <f t="shared" si="90"/>
        <v>0</v>
      </c>
      <c r="M196" s="322">
        <f t="shared" si="90"/>
        <v>0</v>
      </c>
      <c r="N196" s="322">
        <f t="shared" si="90"/>
        <v>0</v>
      </c>
      <c r="O196" s="312">
        <f t="shared" si="90"/>
        <v>0</v>
      </c>
      <c r="P196" s="312">
        <f t="shared" si="90"/>
        <v>0</v>
      </c>
      <c r="Q196" s="322">
        <f t="shared" si="90"/>
        <v>0</v>
      </c>
      <c r="R196" s="322">
        <f t="shared" si="90"/>
        <v>0</v>
      </c>
      <c r="S196" s="312">
        <f t="shared" si="90"/>
        <v>0</v>
      </c>
      <c r="T196" s="312">
        <f t="shared" si="90"/>
        <v>0</v>
      </c>
      <c r="U196" s="132">
        <f t="shared" si="69"/>
        <v>0</v>
      </c>
      <c r="V196" s="132">
        <f t="shared" si="70"/>
        <v>0</v>
      </c>
    </row>
    <row r="197" spans="1:22" s="80" customFormat="1" ht="63" customHeight="1" outlineLevel="1" x14ac:dyDescent="0.25">
      <c r="A197" s="78" t="s">
        <v>581</v>
      </c>
      <c r="B197" s="79" t="s">
        <v>49</v>
      </c>
      <c r="C197" s="79" t="s">
        <v>58</v>
      </c>
      <c r="D197" s="79" t="s">
        <v>14</v>
      </c>
      <c r="E197" s="79" t="s">
        <v>580</v>
      </c>
      <c r="F197" s="79" t="s">
        <v>9</v>
      </c>
      <c r="G197" s="316">
        <f t="shared" si="90"/>
        <v>0</v>
      </c>
      <c r="H197" s="316">
        <f t="shared" si="90"/>
        <v>0</v>
      </c>
      <c r="I197" s="338">
        <f t="shared" si="90"/>
        <v>0</v>
      </c>
      <c r="J197" s="338">
        <f t="shared" si="90"/>
        <v>0</v>
      </c>
      <c r="K197" s="408">
        <f t="shared" si="90"/>
        <v>0</v>
      </c>
      <c r="L197" s="408">
        <f t="shared" si="90"/>
        <v>0</v>
      </c>
      <c r="M197" s="322">
        <f t="shared" si="90"/>
        <v>0</v>
      </c>
      <c r="N197" s="322">
        <f t="shared" si="90"/>
        <v>0</v>
      </c>
      <c r="O197" s="312">
        <f t="shared" si="90"/>
        <v>0</v>
      </c>
      <c r="P197" s="312">
        <f t="shared" si="90"/>
        <v>0</v>
      </c>
      <c r="Q197" s="322">
        <f t="shared" si="90"/>
        <v>0</v>
      </c>
      <c r="R197" s="322">
        <f t="shared" si="90"/>
        <v>0</v>
      </c>
      <c r="S197" s="312">
        <f t="shared" si="90"/>
        <v>0</v>
      </c>
      <c r="T197" s="312">
        <f t="shared" si="90"/>
        <v>0</v>
      </c>
      <c r="U197" s="132">
        <f t="shared" si="69"/>
        <v>0</v>
      </c>
      <c r="V197" s="132">
        <f t="shared" si="70"/>
        <v>0</v>
      </c>
    </row>
    <row r="198" spans="1:22" s="77" customFormat="1" ht="15.75" customHeight="1" outlineLevel="1" x14ac:dyDescent="0.25">
      <c r="A198" s="74" t="s">
        <v>123</v>
      </c>
      <c r="B198" s="75" t="s">
        <v>49</v>
      </c>
      <c r="C198" s="75" t="s">
        <v>58</v>
      </c>
      <c r="D198" s="75" t="s">
        <v>14</v>
      </c>
      <c r="E198" s="75" t="s">
        <v>580</v>
      </c>
      <c r="F198" s="75" t="s">
        <v>119</v>
      </c>
      <c r="G198" s="311"/>
      <c r="H198" s="311"/>
      <c r="I198" s="320"/>
      <c r="J198" s="320"/>
      <c r="K198" s="409"/>
      <c r="L198" s="409"/>
      <c r="M198" s="323"/>
      <c r="N198" s="323"/>
      <c r="O198" s="313"/>
      <c r="P198" s="313"/>
      <c r="Q198" s="323"/>
      <c r="R198" s="323"/>
      <c r="S198" s="313"/>
      <c r="T198" s="313"/>
      <c r="U198" s="131">
        <f t="shared" si="69"/>
        <v>0</v>
      </c>
      <c r="V198" s="131">
        <f t="shared" si="70"/>
        <v>0</v>
      </c>
    </row>
    <row r="199" spans="1:22" s="80" customFormat="1" ht="15.75" customHeight="1" outlineLevel="1" x14ac:dyDescent="0.25">
      <c r="A199" s="78" t="s">
        <v>649</v>
      </c>
      <c r="B199" s="79" t="s">
        <v>49</v>
      </c>
      <c r="C199" s="79" t="s">
        <v>58</v>
      </c>
      <c r="D199" s="79" t="s">
        <v>20</v>
      </c>
      <c r="E199" s="79" t="s">
        <v>365</v>
      </c>
      <c r="F199" s="79" t="s">
        <v>9</v>
      </c>
      <c r="G199" s="316">
        <f t="shared" ref="G199:T201" si="91">G200</f>
        <v>0</v>
      </c>
      <c r="H199" s="316">
        <f t="shared" si="91"/>
        <v>0</v>
      </c>
      <c r="I199" s="338">
        <f t="shared" si="91"/>
        <v>0</v>
      </c>
      <c r="J199" s="338">
        <f t="shared" si="91"/>
        <v>0</v>
      </c>
      <c r="K199" s="408">
        <f t="shared" si="91"/>
        <v>0</v>
      </c>
      <c r="L199" s="408">
        <f t="shared" si="91"/>
        <v>0</v>
      </c>
      <c r="M199" s="322">
        <f t="shared" si="91"/>
        <v>0</v>
      </c>
      <c r="N199" s="322">
        <f t="shared" si="91"/>
        <v>0</v>
      </c>
      <c r="O199" s="312">
        <f t="shared" si="91"/>
        <v>0</v>
      </c>
      <c r="P199" s="312">
        <f t="shared" si="91"/>
        <v>0</v>
      </c>
      <c r="Q199" s="322">
        <f t="shared" si="91"/>
        <v>0</v>
      </c>
      <c r="R199" s="322">
        <f t="shared" si="91"/>
        <v>0</v>
      </c>
      <c r="S199" s="312">
        <f t="shared" si="91"/>
        <v>0</v>
      </c>
      <c r="T199" s="312">
        <f t="shared" si="91"/>
        <v>0</v>
      </c>
      <c r="U199" s="132">
        <f t="shared" si="69"/>
        <v>0</v>
      </c>
      <c r="V199" s="132">
        <f t="shared" si="70"/>
        <v>0</v>
      </c>
    </row>
    <row r="200" spans="1:22" s="80" customFormat="1" ht="31.5" customHeight="1" outlineLevel="1" x14ac:dyDescent="0.25">
      <c r="A200" s="78" t="s">
        <v>785</v>
      </c>
      <c r="B200" s="79" t="s">
        <v>49</v>
      </c>
      <c r="C200" s="79" t="s">
        <v>58</v>
      </c>
      <c r="D200" s="79" t="s">
        <v>20</v>
      </c>
      <c r="E200" s="79" t="s">
        <v>389</v>
      </c>
      <c r="F200" s="79" t="s">
        <v>9</v>
      </c>
      <c r="G200" s="316">
        <f t="shared" si="91"/>
        <v>0</v>
      </c>
      <c r="H200" s="316">
        <f t="shared" si="91"/>
        <v>0</v>
      </c>
      <c r="I200" s="338">
        <f t="shared" si="91"/>
        <v>0</v>
      </c>
      <c r="J200" s="338">
        <f t="shared" si="91"/>
        <v>0</v>
      </c>
      <c r="K200" s="408">
        <f t="shared" si="91"/>
        <v>0</v>
      </c>
      <c r="L200" s="408">
        <f t="shared" si="91"/>
        <v>0</v>
      </c>
      <c r="M200" s="322">
        <f t="shared" si="91"/>
        <v>0</v>
      </c>
      <c r="N200" s="322">
        <f t="shared" si="91"/>
        <v>0</v>
      </c>
      <c r="O200" s="312">
        <f t="shared" si="91"/>
        <v>0</v>
      </c>
      <c r="P200" s="312">
        <f t="shared" si="91"/>
        <v>0</v>
      </c>
      <c r="Q200" s="322">
        <f t="shared" si="91"/>
        <v>0</v>
      </c>
      <c r="R200" s="322">
        <f t="shared" si="91"/>
        <v>0</v>
      </c>
      <c r="S200" s="312">
        <f t="shared" si="91"/>
        <v>0</v>
      </c>
      <c r="T200" s="312">
        <f t="shared" si="91"/>
        <v>0</v>
      </c>
      <c r="U200" s="132">
        <f t="shared" si="69"/>
        <v>0</v>
      </c>
      <c r="V200" s="132">
        <f t="shared" si="70"/>
        <v>0</v>
      </c>
    </row>
    <row r="201" spans="1:22" s="80" customFormat="1" ht="15.75" customHeight="1" outlineLevel="1" x14ac:dyDescent="0.25">
      <c r="A201" s="78" t="s">
        <v>648</v>
      </c>
      <c r="B201" s="79" t="s">
        <v>49</v>
      </c>
      <c r="C201" s="79" t="s">
        <v>58</v>
      </c>
      <c r="D201" s="79" t="s">
        <v>20</v>
      </c>
      <c r="E201" s="79" t="s">
        <v>647</v>
      </c>
      <c r="F201" s="79" t="s">
        <v>9</v>
      </c>
      <c r="G201" s="316">
        <f t="shared" si="91"/>
        <v>0</v>
      </c>
      <c r="H201" s="316">
        <f t="shared" si="91"/>
        <v>0</v>
      </c>
      <c r="I201" s="338">
        <f t="shared" si="91"/>
        <v>0</v>
      </c>
      <c r="J201" s="338">
        <f t="shared" si="91"/>
        <v>0</v>
      </c>
      <c r="K201" s="408">
        <f t="shared" si="91"/>
        <v>0</v>
      </c>
      <c r="L201" s="408">
        <f t="shared" si="91"/>
        <v>0</v>
      </c>
      <c r="M201" s="322">
        <f t="shared" si="91"/>
        <v>0</v>
      </c>
      <c r="N201" s="322">
        <f t="shared" si="91"/>
        <v>0</v>
      </c>
      <c r="O201" s="312">
        <f t="shared" si="91"/>
        <v>0</v>
      </c>
      <c r="P201" s="312">
        <f t="shared" si="91"/>
        <v>0</v>
      </c>
      <c r="Q201" s="322">
        <f t="shared" si="91"/>
        <v>0</v>
      </c>
      <c r="R201" s="322">
        <f t="shared" si="91"/>
        <v>0</v>
      </c>
      <c r="S201" s="312">
        <f t="shared" si="91"/>
        <v>0</v>
      </c>
      <c r="T201" s="312">
        <f t="shared" si="91"/>
        <v>0</v>
      </c>
      <c r="U201" s="132">
        <f t="shared" si="69"/>
        <v>0</v>
      </c>
      <c r="V201" s="132">
        <f t="shared" si="70"/>
        <v>0</v>
      </c>
    </row>
    <row r="202" spans="1:22" s="77" customFormat="1" ht="15.75" customHeight="1" outlineLevel="1" x14ac:dyDescent="0.25">
      <c r="A202" s="74" t="s">
        <v>123</v>
      </c>
      <c r="B202" s="75" t="s">
        <v>49</v>
      </c>
      <c r="C202" s="75" t="s">
        <v>58</v>
      </c>
      <c r="D202" s="75" t="s">
        <v>20</v>
      </c>
      <c r="E202" s="75" t="s">
        <v>647</v>
      </c>
      <c r="F202" s="75" t="s">
        <v>119</v>
      </c>
      <c r="G202" s="311"/>
      <c r="H202" s="311"/>
      <c r="I202" s="320"/>
      <c r="J202" s="320"/>
      <c r="K202" s="409"/>
      <c r="L202" s="409"/>
      <c r="M202" s="323"/>
      <c r="N202" s="323"/>
      <c r="O202" s="313"/>
      <c r="P202" s="313"/>
      <c r="Q202" s="323"/>
      <c r="R202" s="323"/>
      <c r="S202" s="313"/>
      <c r="T202" s="313"/>
      <c r="U202" s="131">
        <f t="shared" si="69"/>
        <v>0</v>
      </c>
      <c r="V202" s="131">
        <f t="shared" si="70"/>
        <v>0</v>
      </c>
    </row>
    <row r="203" spans="1:22" s="80" customFormat="1" ht="15.75" customHeight="1" outlineLevel="1" x14ac:dyDescent="0.25">
      <c r="A203" s="78" t="s">
        <v>651</v>
      </c>
      <c r="B203" s="79" t="s">
        <v>49</v>
      </c>
      <c r="C203" s="79" t="s">
        <v>58</v>
      </c>
      <c r="D203" s="79" t="s">
        <v>58</v>
      </c>
      <c r="E203" s="79" t="s">
        <v>365</v>
      </c>
      <c r="F203" s="79" t="s">
        <v>9</v>
      </c>
      <c r="G203" s="316">
        <f t="shared" ref="G203:T205" si="92">G204</f>
        <v>0</v>
      </c>
      <c r="H203" s="316">
        <f t="shared" si="92"/>
        <v>0</v>
      </c>
      <c r="I203" s="338">
        <f t="shared" si="92"/>
        <v>0</v>
      </c>
      <c r="J203" s="338">
        <f t="shared" si="92"/>
        <v>0</v>
      </c>
      <c r="K203" s="408">
        <f t="shared" si="92"/>
        <v>0</v>
      </c>
      <c r="L203" s="408">
        <f t="shared" si="92"/>
        <v>0</v>
      </c>
      <c r="M203" s="322">
        <f t="shared" si="92"/>
        <v>0</v>
      </c>
      <c r="N203" s="322">
        <f t="shared" si="92"/>
        <v>0</v>
      </c>
      <c r="O203" s="312">
        <f t="shared" si="92"/>
        <v>0</v>
      </c>
      <c r="P203" s="312">
        <f t="shared" si="92"/>
        <v>0</v>
      </c>
      <c r="Q203" s="322">
        <f t="shared" si="92"/>
        <v>0</v>
      </c>
      <c r="R203" s="322">
        <f t="shared" si="92"/>
        <v>0</v>
      </c>
      <c r="S203" s="312">
        <f t="shared" si="92"/>
        <v>0</v>
      </c>
      <c r="T203" s="312">
        <f t="shared" si="92"/>
        <v>0</v>
      </c>
      <c r="U203" s="132">
        <f t="shared" si="69"/>
        <v>0</v>
      </c>
      <c r="V203" s="132">
        <f t="shared" si="70"/>
        <v>0</v>
      </c>
    </row>
    <row r="204" spans="1:22" s="80" customFormat="1" ht="31.5" customHeight="1" outlineLevel="1" x14ac:dyDescent="0.25">
      <c r="A204" s="78" t="s">
        <v>785</v>
      </c>
      <c r="B204" s="79" t="s">
        <v>49</v>
      </c>
      <c r="C204" s="79" t="s">
        <v>58</v>
      </c>
      <c r="D204" s="79" t="s">
        <v>58</v>
      </c>
      <c r="E204" s="79" t="s">
        <v>389</v>
      </c>
      <c r="F204" s="79" t="s">
        <v>9</v>
      </c>
      <c r="G204" s="316">
        <f t="shared" si="92"/>
        <v>0</v>
      </c>
      <c r="H204" s="316">
        <f t="shared" si="92"/>
        <v>0</v>
      </c>
      <c r="I204" s="338">
        <f t="shared" si="92"/>
        <v>0</v>
      </c>
      <c r="J204" s="338">
        <f t="shared" si="92"/>
        <v>0</v>
      </c>
      <c r="K204" s="408">
        <f t="shared" si="92"/>
        <v>0</v>
      </c>
      <c r="L204" s="408">
        <f t="shared" si="92"/>
        <v>0</v>
      </c>
      <c r="M204" s="322">
        <f t="shared" si="92"/>
        <v>0</v>
      </c>
      <c r="N204" s="322">
        <f t="shared" si="92"/>
        <v>0</v>
      </c>
      <c r="O204" s="312">
        <f t="shared" si="92"/>
        <v>0</v>
      </c>
      <c r="P204" s="312">
        <f t="shared" si="92"/>
        <v>0</v>
      </c>
      <c r="Q204" s="322">
        <f t="shared" si="92"/>
        <v>0</v>
      </c>
      <c r="R204" s="322">
        <f t="shared" si="92"/>
        <v>0</v>
      </c>
      <c r="S204" s="312">
        <f t="shared" si="92"/>
        <v>0</v>
      </c>
      <c r="T204" s="312">
        <f t="shared" si="92"/>
        <v>0</v>
      </c>
      <c r="U204" s="132">
        <f t="shared" si="69"/>
        <v>0</v>
      </c>
      <c r="V204" s="132">
        <f t="shared" si="70"/>
        <v>0</v>
      </c>
    </row>
    <row r="205" spans="1:22" s="80" customFormat="1" ht="15.75" customHeight="1" outlineLevel="1" x14ac:dyDescent="0.25">
      <c r="A205" s="78" t="s">
        <v>676</v>
      </c>
      <c r="B205" s="79" t="s">
        <v>49</v>
      </c>
      <c r="C205" s="79" t="s">
        <v>58</v>
      </c>
      <c r="D205" s="79" t="s">
        <v>58</v>
      </c>
      <c r="E205" s="79" t="s">
        <v>650</v>
      </c>
      <c r="F205" s="79" t="s">
        <v>9</v>
      </c>
      <c r="G205" s="316">
        <f t="shared" si="92"/>
        <v>0</v>
      </c>
      <c r="H205" s="316">
        <f t="shared" si="92"/>
        <v>0</v>
      </c>
      <c r="I205" s="338">
        <f t="shared" si="92"/>
        <v>0</v>
      </c>
      <c r="J205" s="338">
        <f t="shared" si="92"/>
        <v>0</v>
      </c>
      <c r="K205" s="408">
        <f t="shared" si="92"/>
        <v>0</v>
      </c>
      <c r="L205" s="408">
        <f t="shared" si="92"/>
        <v>0</v>
      </c>
      <c r="M205" s="322">
        <f t="shared" si="92"/>
        <v>0</v>
      </c>
      <c r="N205" s="322">
        <f t="shared" si="92"/>
        <v>0</v>
      </c>
      <c r="O205" s="312">
        <f t="shared" si="92"/>
        <v>0</v>
      </c>
      <c r="P205" s="312">
        <f t="shared" si="92"/>
        <v>0</v>
      </c>
      <c r="Q205" s="322">
        <f t="shared" si="92"/>
        <v>0</v>
      </c>
      <c r="R205" s="322">
        <f t="shared" si="92"/>
        <v>0</v>
      </c>
      <c r="S205" s="312">
        <f t="shared" si="92"/>
        <v>0</v>
      </c>
      <c r="T205" s="312">
        <f t="shared" si="92"/>
        <v>0</v>
      </c>
      <c r="U205" s="132">
        <f t="shared" si="69"/>
        <v>0</v>
      </c>
      <c r="V205" s="132">
        <f t="shared" si="70"/>
        <v>0</v>
      </c>
    </row>
    <row r="206" spans="1:22" s="77" customFormat="1" ht="15.75" customHeight="1" outlineLevel="1" x14ac:dyDescent="0.25">
      <c r="A206" s="74" t="s">
        <v>123</v>
      </c>
      <c r="B206" s="75" t="s">
        <v>49</v>
      </c>
      <c r="C206" s="75" t="s">
        <v>58</v>
      </c>
      <c r="D206" s="75" t="s">
        <v>58</v>
      </c>
      <c r="E206" s="75" t="s">
        <v>650</v>
      </c>
      <c r="F206" s="75" t="s">
        <v>119</v>
      </c>
      <c r="G206" s="311"/>
      <c r="H206" s="311"/>
      <c r="I206" s="320"/>
      <c r="J206" s="320"/>
      <c r="K206" s="409"/>
      <c r="L206" s="409"/>
      <c r="M206" s="323"/>
      <c r="N206" s="323"/>
      <c r="O206" s="313"/>
      <c r="P206" s="313"/>
      <c r="Q206" s="323"/>
      <c r="R206" s="323"/>
      <c r="S206" s="313"/>
      <c r="T206" s="313"/>
      <c r="U206" s="131">
        <f t="shared" si="69"/>
        <v>0</v>
      </c>
      <c r="V206" s="131">
        <f t="shared" si="70"/>
        <v>0</v>
      </c>
    </row>
    <row r="207" spans="1:22" s="77" customFormat="1" ht="15.75" customHeight="1" outlineLevel="1" x14ac:dyDescent="0.25">
      <c r="A207" s="74" t="s">
        <v>11</v>
      </c>
      <c r="B207" s="75" t="s">
        <v>49</v>
      </c>
      <c r="C207" s="75" t="s">
        <v>12</v>
      </c>
      <c r="D207" s="75" t="s">
        <v>10</v>
      </c>
      <c r="E207" s="75" t="s">
        <v>365</v>
      </c>
      <c r="F207" s="75" t="s">
        <v>9</v>
      </c>
      <c r="G207" s="311">
        <f t="shared" ref="G207:T211" si="93">G208</f>
        <v>0</v>
      </c>
      <c r="H207" s="311">
        <f t="shared" si="93"/>
        <v>0</v>
      </c>
      <c r="I207" s="320">
        <f t="shared" si="93"/>
        <v>0</v>
      </c>
      <c r="J207" s="320">
        <f t="shared" si="93"/>
        <v>0</v>
      </c>
      <c r="K207" s="407">
        <f t="shared" si="93"/>
        <v>0</v>
      </c>
      <c r="L207" s="407">
        <f t="shared" si="93"/>
        <v>0</v>
      </c>
      <c r="M207" s="321">
        <f t="shared" si="93"/>
        <v>0</v>
      </c>
      <c r="N207" s="321">
        <f t="shared" si="93"/>
        <v>0</v>
      </c>
      <c r="O207" s="310">
        <f t="shared" si="93"/>
        <v>0</v>
      </c>
      <c r="P207" s="310">
        <f t="shared" si="93"/>
        <v>0</v>
      </c>
      <c r="Q207" s="321">
        <f t="shared" si="93"/>
        <v>0</v>
      </c>
      <c r="R207" s="321">
        <f t="shared" si="93"/>
        <v>0</v>
      </c>
      <c r="S207" s="310">
        <f t="shared" si="93"/>
        <v>0</v>
      </c>
      <c r="T207" s="310">
        <f t="shared" si="93"/>
        <v>0</v>
      </c>
      <c r="U207" s="131">
        <f t="shared" si="69"/>
        <v>0</v>
      </c>
      <c r="V207" s="131">
        <f t="shared" si="70"/>
        <v>0</v>
      </c>
    </row>
    <row r="208" spans="1:22" s="80" customFormat="1" ht="15.75" customHeight="1" outlineLevel="1" x14ac:dyDescent="0.25">
      <c r="A208" s="78" t="s">
        <v>13</v>
      </c>
      <c r="B208" s="79" t="s">
        <v>49</v>
      </c>
      <c r="C208" s="79" t="s">
        <v>12</v>
      </c>
      <c r="D208" s="79" t="s">
        <v>14</v>
      </c>
      <c r="E208" s="79" t="s">
        <v>365</v>
      </c>
      <c r="F208" s="79" t="s">
        <v>9</v>
      </c>
      <c r="G208" s="316">
        <f t="shared" si="93"/>
        <v>0</v>
      </c>
      <c r="H208" s="316">
        <f t="shared" si="93"/>
        <v>0</v>
      </c>
      <c r="I208" s="338">
        <f t="shared" si="93"/>
        <v>0</v>
      </c>
      <c r="J208" s="338">
        <f t="shared" si="93"/>
        <v>0</v>
      </c>
      <c r="K208" s="408">
        <f t="shared" si="93"/>
        <v>0</v>
      </c>
      <c r="L208" s="408">
        <f t="shared" si="93"/>
        <v>0</v>
      </c>
      <c r="M208" s="322">
        <f t="shared" si="93"/>
        <v>0</v>
      </c>
      <c r="N208" s="322">
        <f t="shared" si="93"/>
        <v>0</v>
      </c>
      <c r="O208" s="312">
        <f t="shared" si="93"/>
        <v>0</v>
      </c>
      <c r="P208" s="312">
        <f t="shared" si="93"/>
        <v>0</v>
      </c>
      <c r="Q208" s="322">
        <f t="shared" si="93"/>
        <v>0</v>
      </c>
      <c r="R208" s="322">
        <f t="shared" si="93"/>
        <v>0</v>
      </c>
      <c r="S208" s="312">
        <f t="shared" si="93"/>
        <v>0</v>
      </c>
      <c r="T208" s="312">
        <f t="shared" si="93"/>
        <v>0</v>
      </c>
      <c r="U208" s="132">
        <f t="shared" si="69"/>
        <v>0</v>
      </c>
      <c r="V208" s="132">
        <f t="shared" si="70"/>
        <v>0</v>
      </c>
    </row>
    <row r="209" spans="1:228" s="80" customFormat="1" ht="31.5" customHeight="1" outlineLevel="1" x14ac:dyDescent="0.25">
      <c r="A209" s="78" t="s">
        <v>785</v>
      </c>
      <c r="B209" s="79" t="s">
        <v>49</v>
      </c>
      <c r="C209" s="79" t="s">
        <v>12</v>
      </c>
      <c r="D209" s="79" t="s">
        <v>14</v>
      </c>
      <c r="E209" s="79" t="s">
        <v>389</v>
      </c>
      <c r="F209" s="79" t="s">
        <v>9</v>
      </c>
      <c r="G209" s="316">
        <f t="shared" si="93"/>
        <v>0</v>
      </c>
      <c r="H209" s="316">
        <f t="shared" si="93"/>
        <v>0</v>
      </c>
      <c r="I209" s="338">
        <f t="shared" si="93"/>
        <v>0</v>
      </c>
      <c r="J209" s="338">
        <f t="shared" si="93"/>
        <v>0</v>
      </c>
      <c r="K209" s="408">
        <f t="shared" si="93"/>
        <v>0</v>
      </c>
      <c r="L209" s="408">
        <f t="shared" si="93"/>
        <v>0</v>
      </c>
      <c r="M209" s="322">
        <f t="shared" si="93"/>
        <v>0</v>
      </c>
      <c r="N209" s="322">
        <f t="shared" si="93"/>
        <v>0</v>
      </c>
      <c r="O209" s="312">
        <f t="shared" si="93"/>
        <v>0</v>
      </c>
      <c r="P209" s="312">
        <f t="shared" si="93"/>
        <v>0</v>
      </c>
      <c r="Q209" s="322">
        <f t="shared" si="93"/>
        <v>0</v>
      </c>
      <c r="R209" s="322">
        <f t="shared" si="93"/>
        <v>0</v>
      </c>
      <c r="S209" s="312">
        <f t="shared" si="93"/>
        <v>0</v>
      </c>
      <c r="T209" s="312">
        <f t="shared" si="93"/>
        <v>0</v>
      </c>
      <c r="U209" s="132">
        <f t="shared" si="69"/>
        <v>0</v>
      </c>
      <c r="V209" s="132">
        <f t="shared" si="70"/>
        <v>0</v>
      </c>
    </row>
    <row r="210" spans="1:228" s="80" customFormat="1" ht="47.25" customHeight="1" outlineLevel="1" x14ac:dyDescent="0.25">
      <c r="A210" s="78" t="s">
        <v>41</v>
      </c>
      <c r="B210" s="79" t="s">
        <v>49</v>
      </c>
      <c r="C210" s="79" t="s">
        <v>12</v>
      </c>
      <c r="D210" s="79" t="s">
        <v>14</v>
      </c>
      <c r="E210" s="79" t="s">
        <v>399</v>
      </c>
      <c r="F210" s="79" t="s">
        <v>9</v>
      </c>
      <c r="G210" s="316">
        <f t="shared" si="93"/>
        <v>0</v>
      </c>
      <c r="H210" s="316">
        <f t="shared" si="93"/>
        <v>0</v>
      </c>
      <c r="I210" s="338">
        <f t="shared" si="93"/>
        <v>0</v>
      </c>
      <c r="J210" s="338">
        <f t="shared" si="93"/>
        <v>0</v>
      </c>
      <c r="K210" s="408">
        <f t="shared" si="93"/>
        <v>0</v>
      </c>
      <c r="L210" s="408">
        <f t="shared" si="93"/>
        <v>0</v>
      </c>
      <c r="M210" s="322">
        <f t="shared" si="93"/>
        <v>0</v>
      </c>
      <c r="N210" s="322">
        <f t="shared" si="93"/>
        <v>0</v>
      </c>
      <c r="O210" s="312">
        <f t="shared" si="93"/>
        <v>0</v>
      </c>
      <c r="P210" s="312">
        <f t="shared" si="93"/>
        <v>0</v>
      </c>
      <c r="Q210" s="322">
        <f t="shared" si="93"/>
        <v>0</v>
      </c>
      <c r="R210" s="322">
        <f t="shared" si="93"/>
        <v>0</v>
      </c>
      <c r="S210" s="312">
        <f t="shared" si="93"/>
        <v>0</v>
      </c>
      <c r="T210" s="312">
        <f t="shared" si="93"/>
        <v>0</v>
      </c>
      <c r="U210" s="132">
        <f t="shared" si="69"/>
        <v>0</v>
      </c>
      <c r="V210" s="132">
        <f t="shared" si="70"/>
        <v>0</v>
      </c>
    </row>
    <row r="211" spans="1:228" s="80" customFormat="1" ht="31.5" customHeight="1" outlineLevel="1" x14ac:dyDescent="0.25">
      <c r="A211" s="78" t="s">
        <v>703</v>
      </c>
      <c r="B211" s="79" t="s">
        <v>49</v>
      </c>
      <c r="C211" s="79" t="s">
        <v>12</v>
      </c>
      <c r="D211" s="79" t="s">
        <v>14</v>
      </c>
      <c r="E211" s="79" t="s">
        <v>702</v>
      </c>
      <c r="F211" s="79" t="s">
        <v>9</v>
      </c>
      <c r="G211" s="316">
        <f t="shared" si="93"/>
        <v>0</v>
      </c>
      <c r="H211" s="316">
        <f t="shared" si="93"/>
        <v>0</v>
      </c>
      <c r="I211" s="338">
        <f t="shared" si="93"/>
        <v>0</v>
      </c>
      <c r="J211" s="338">
        <f t="shared" si="93"/>
        <v>0</v>
      </c>
      <c r="K211" s="408">
        <f t="shared" si="93"/>
        <v>0</v>
      </c>
      <c r="L211" s="408">
        <f t="shared" si="93"/>
        <v>0</v>
      </c>
      <c r="M211" s="322">
        <f t="shared" si="93"/>
        <v>0</v>
      </c>
      <c r="N211" s="322">
        <f t="shared" si="93"/>
        <v>0</v>
      </c>
      <c r="O211" s="312">
        <f t="shared" si="93"/>
        <v>0</v>
      </c>
      <c r="P211" s="312">
        <f t="shared" si="93"/>
        <v>0</v>
      </c>
      <c r="Q211" s="322">
        <f t="shared" si="93"/>
        <v>0</v>
      </c>
      <c r="R211" s="322">
        <f t="shared" si="93"/>
        <v>0</v>
      </c>
      <c r="S211" s="312">
        <f t="shared" si="93"/>
        <v>0</v>
      </c>
      <c r="T211" s="312">
        <f t="shared" si="93"/>
        <v>0</v>
      </c>
      <c r="U211" s="132">
        <f t="shared" si="69"/>
        <v>0</v>
      </c>
      <c r="V211" s="132">
        <f t="shared" si="70"/>
        <v>0</v>
      </c>
    </row>
    <row r="212" spans="1:228" s="77" customFormat="1" ht="15.75" customHeight="1" outlineLevel="1" x14ac:dyDescent="0.25">
      <c r="A212" s="74" t="s">
        <v>123</v>
      </c>
      <c r="B212" s="75" t="s">
        <v>49</v>
      </c>
      <c r="C212" s="75" t="s">
        <v>12</v>
      </c>
      <c r="D212" s="75" t="s">
        <v>14</v>
      </c>
      <c r="E212" s="75" t="s">
        <v>702</v>
      </c>
      <c r="F212" s="75" t="s">
        <v>119</v>
      </c>
      <c r="G212" s="311"/>
      <c r="H212" s="311"/>
      <c r="I212" s="320"/>
      <c r="J212" s="320"/>
      <c r="K212" s="409"/>
      <c r="L212" s="409"/>
      <c r="M212" s="323"/>
      <c r="N212" s="323"/>
      <c r="O212" s="313"/>
      <c r="P212" s="313"/>
      <c r="Q212" s="323"/>
      <c r="R212" s="323"/>
      <c r="S212" s="313"/>
      <c r="T212" s="313"/>
      <c r="U212" s="131">
        <f t="shared" si="69"/>
        <v>0</v>
      </c>
      <c r="V212" s="131">
        <f t="shared" si="70"/>
        <v>0</v>
      </c>
    </row>
    <row r="213" spans="1:228" s="77" customFormat="1" ht="15.75" customHeight="1" outlineLevel="1" x14ac:dyDescent="0.25">
      <c r="A213" s="74" t="s">
        <v>17</v>
      </c>
      <c r="B213" s="75" t="s">
        <v>49</v>
      </c>
      <c r="C213" s="75" t="s">
        <v>18</v>
      </c>
      <c r="D213" s="75" t="s">
        <v>10</v>
      </c>
      <c r="E213" s="75" t="s">
        <v>365</v>
      </c>
      <c r="F213" s="75" t="s">
        <v>9</v>
      </c>
      <c r="G213" s="311">
        <f t="shared" ref="G213:T216" si="94">G214</f>
        <v>0</v>
      </c>
      <c r="H213" s="311">
        <f t="shared" si="94"/>
        <v>0</v>
      </c>
      <c r="I213" s="320">
        <f t="shared" si="94"/>
        <v>0</v>
      </c>
      <c r="J213" s="320">
        <f t="shared" si="94"/>
        <v>0</v>
      </c>
      <c r="K213" s="407">
        <f t="shared" si="94"/>
        <v>0</v>
      </c>
      <c r="L213" s="407">
        <f t="shared" si="94"/>
        <v>0</v>
      </c>
      <c r="M213" s="321">
        <f t="shared" si="94"/>
        <v>0</v>
      </c>
      <c r="N213" s="321">
        <f t="shared" si="94"/>
        <v>0</v>
      </c>
      <c r="O213" s="310">
        <f t="shared" si="94"/>
        <v>0</v>
      </c>
      <c r="P213" s="310">
        <f t="shared" si="94"/>
        <v>0</v>
      </c>
      <c r="Q213" s="321">
        <f t="shared" si="94"/>
        <v>0</v>
      </c>
      <c r="R213" s="321">
        <f t="shared" si="94"/>
        <v>0</v>
      </c>
      <c r="S213" s="310">
        <f t="shared" si="94"/>
        <v>0</v>
      </c>
      <c r="T213" s="310">
        <f t="shared" si="94"/>
        <v>0</v>
      </c>
      <c r="U213" s="131">
        <f t="shared" si="69"/>
        <v>0</v>
      </c>
      <c r="V213" s="131">
        <f t="shared" si="70"/>
        <v>0</v>
      </c>
      <c r="HN213" s="74"/>
      <c r="HO213" s="75"/>
      <c r="HP213" s="75"/>
      <c r="HQ213" s="75"/>
      <c r="HR213" s="75"/>
      <c r="HS213" s="75"/>
      <c r="HT213" s="131"/>
    </row>
    <row r="214" spans="1:228" s="77" customFormat="1" ht="15.75" customHeight="1" outlineLevel="1" x14ac:dyDescent="0.25">
      <c r="A214" s="78" t="s">
        <v>47</v>
      </c>
      <c r="B214" s="79" t="s">
        <v>49</v>
      </c>
      <c r="C214" s="79" t="s">
        <v>18</v>
      </c>
      <c r="D214" s="79" t="s">
        <v>25</v>
      </c>
      <c r="E214" s="79" t="s">
        <v>365</v>
      </c>
      <c r="F214" s="79" t="s">
        <v>9</v>
      </c>
      <c r="G214" s="311">
        <f t="shared" si="94"/>
        <v>0</v>
      </c>
      <c r="H214" s="311">
        <f t="shared" si="94"/>
        <v>0</v>
      </c>
      <c r="I214" s="320">
        <f t="shared" si="94"/>
        <v>0</v>
      </c>
      <c r="J214" s="320">
        <f t="shared" si="94"/>
        <v>0</v>
      </c>
      <c r="K214" s="407">
        <f t="shared" si="94"/>
        <v>0</v>
      </c>
      <c r="L214" s="407">
        <f t="shared" si="94"/>
        <v>0</v>
      </c>
      <c r="M214" s="321">
        <f t="shared" si="94"/>
        <v>0</v>
      </c>
      <c r="N214" s="321">
        <f t="shared" si="94"/>
        <v>0</v>
      </c>
      <c r="O214" s="310">
        <f t="shared" si="94"/>
        <v>0</v>
      </c>
      <c r="P214" s="310">
        <f t="shared" si="94"/>
        <v>0</v>
      </c>
      <c r="Q214" s="321">
        <f t="shared" si="94"/>
        <v>0</v>
      </c>
      <c r="R214" s="321">
        <f t="shared" si="94"/>
        <v>0</v>
      </c>
      <c r="S214" s="310">
        <f t="shared" si="94"/>
        <v>0</v>
      </c>
      <c r="T214" s="310">
        <f t="shared" si="94"/>
        <v>0</v>
      </c>
      <c r="U214" s="132">
        <f t="shared" si="69"/>
        <v>0</v>
      </c>
      <c r="V214" s="132">
        <f t="shared" si="70"/>
        <v>0</v>
      </c>
      <c r="HN214" s="74"/>
      <c r="HO214" s="75"/>
      <c r="HP214" s="75"/>
      <c r="HQ214" s="75"/>
      <c r="HR214" s="75"/>
      <c r="HS214" s="75"/>
      <c r="HT214" s="131"/>
    </row>
    <row r="215" spans="1:228" s="77" customFormat="1" ht="31.5" customHeight="1" outlineLevel="1" x14ac:dyDescent="0.25">
      <c r="A215" s="78" t="s">
        <v>785</v>
      </c>
      <c r="B215" s="79" t="s">
        <v>49</v>
      </c>
      <c r="C215" s="79" t="s">
        <v>18</v>
      </c>
      <c r="D215" s="79" t="s">
        <v>25</v>
      </c>
      <c r="E215" s="79" t="s">
        <v>389</v>
      </c>
      <c r="F215" s="79" t="s">
        <v>9</v>
      </c>
      <c r="G215" s="316">
        <f t="shared" si="94"/>
        <v>0</v>
      </c>
      <c r="H215" s="316">
        <f t="shared" si="94"/>
        <v>0</v>
      </c>
      <c r="I215" s="338">
        <f t="shared" si="94"/>
        <v>0</v>
      </c>
      <c r="J215" s="338">
        <f t="shared" si="94"/>
        <v>0</v>
      </c>
      <c r="K215" s="408">
        <f t="shared" si="94"/>
        <v>0</v>
      </c>
      <c r="L215" s="408">
        <f t="shared" si="94"/>
        <v>0</v>
      </c>
      <c r="M215" s="322">
        <f t="shared" si="94"/>
        <v>0</v>
      </c>
      <c r="N215" s="322">
        <f t="shared" si="94"/>
        <v>0</v>
      </c>
      <c r="O215" s="312">
        <f t="shared" si="94"/>
        <v>0</v>
      </c>
      <c r="P215" s="312">
        <f t="shared" si="94"/>
        <v>0</v>
      </c>
      <c r="Q215" s="322">
        <f t="shared" si="94"/>
        <v>0</v>
      </c>
      <c r="R215" s="322">
        <f t="shared" si="94"/>
        <v>0</v>
      </c>
      <c r="S215" s="312">
        <f t="shared" si="94"/>
        <v>0</v>
      </c>
      <c r="T215" s="312">
        <f t="shared" si="94"/>
        <v>0</v>
      </c>
      <c r="U215" s="132">
        <f t="shared" si="69"/>
        <v>0</v>
      </c>
      <c r="V215" s="132">
        <f t="shared" si="70"/>
        <v>0</v>
      </c>
      <c r="W215" s="80"/>
      <c r="X215" s="80"/>
      <c r="Y215" s="80"/>
      <c r="Z215" s="80"/>
      <c r="AA215" s="80"/>
      <c r="AB215" s="80"/>
      <c r="AC215" s="80"/>
      <c r="AD215" s="80"/>
      <c r="AE215" s="80"/>
      <c r="AF215" s="80"/>
      <c r="AG215" s="80"/>
      <c r="AH215" s="80"/>
      <c r="AI215" s="80"/>
      <c r="AJ215" s="80"/>
      <c r="AK215" s="80"/>
      <c r="AL215" s="80"/>
      <c r="AM215" s="80"/>
      <c r="AN215" s="80"/>
      <c r="AO215" s="80"/>
      <c r="AP215" s="80"/>
      <c r="AQ215" s="80"/>
      <c r="AR215" s="80"/>
      <c r="AS215" s="80"/>
      <c r="AT215" s="80"/>
      <c r="AU215" s="80"/>
      <c r="AV215" s="80"/>
      <c r="AW215" s="80"/>
      <c r="AX215" s="80"/>
      <c r="AY215" s="80"/>
      <c r="AZ215" s="80"/>
      <c r="BA215" s="80"/>
      <c r="BB215" s="80"/>
      <c r="BC215" s="80"/>
      <c r="BD215" s="80"/>
      <c r="BE215" s="80"/>
      <c r="BF215" s="80"/>
      <c r="BG215" s="80"/>
      <c r="BH215" s="80"/>
      <c r="BI215" s="80"/>
      <c r="BJ215" s="80"/>
      <c r="BK215" s="80"/>
      <c r="BL215" s="80"/>
      <c r="BM215" s="80"/>
      <c r="BN215" s="80"/>
      <c r="BO215" s="80"/>
      <c r="BP215" s="80"/>
      <c r="BQ215" s="80"/>
      <c r="BR215" s="80"/>
      <c r="BS215" s="80"/>
      <c r="BT215" s="80"/>
      <c r="BU215" s="80"/>
      <c r="BV215" s="80"/>
      <c r="BW215" s="80"/>
      <c r="BX215" s="80"/>
      <c r="BY215" s="80"/>
      <c r="BZ215" s="80"/>
      <c r="CA215" s="80"/>
      <c r="CB215" s="80"/>
      <c r="CC215" s="80"/>
      <c r="CD215" s="80"/>
      <c r="CE215" s="80"/>
      <c r="CF215" s="80"/>
      <c r="CG215" s="80"/>
      <c r="CH215" s="80"/>
      <c r="CI215" s="80"/>
      <c r="CJ215" s="80"/>
      <c r="CK215" s="80"/>
      <c r="CL215" s="80"/>
      <c r="CM215" s="80"/>
      <c r="CN215" s="80"/>
      <c r="CO215" s="80"/>
      <c r="CP215" s="80"/>
      <c r="CQ215" s="80"/>
      <c r="CR215" s="80"/>
      <c r="CS215" s="80"/>
      <c r="CT215" s="80"/>
      <c r="CU215" s="80"/>
      <c r="CV215" s="80"/>
      <c r="CW215" s="80"/>
      <c r="CX215" s="80"/>
      <c r="CY215" s="80"/>
      <c r="CZ215" s="80"/>
      <c r="DA215" s="80"/>
      <c r="DB215" s="80"/>
      <c r="DC215" s="80"/>
      <c r="DD215" s="80"/>
      <c r="DE215" s="80"/>
      <c r="DF215" s="80"/>
      <c r="DG215" s="80"/>
      <c r="DH215" s="80"/>
      <c r="DI215" s="80"/>
      <c r="DJ215" s="80"/>
      <c r="DK215" s="80"/>
      <c r="DL215" s="80"/>
      <c r="DM215" s="80"/>
      <c r="DN215" s="80"/>
      <c r="DO215" s="80"/>
      <c r="DP215" s="80"/>
      <c r="DQ215" s="80"/>
      <c r="DR215" s="80"/>
      <c r="DS215" s="80"/>
      <c r="DT215" s="80"/>
      <c r="DU215" s="80"/>
      <c r="DV215" s="80"/>
      <c r="DW215" s="80"/>
      <c r="DX215" s="80"/>
      <c r="DY215" s="80"/>
      <c r="DZ215" s="80"/>
      <c r="EA215" s="80"/>
      <c r="EB215" s="80"/>
      <c r="EC215" s="80"/>
      <c r="ED215" s="80"/>
      <c r="EE215" s="80"/>
      <c r="EF215" s="80"/>
      <c r="EG215" s="80"/>
      <c r="EH215" s="80"/>
      <c r="EI215" s="80"/>
      <c r="EJ215" s="80"/>
      <c r="EK215" s="80"/>
      <c r="EL215" s="80"/>
      <c r="EM215" s="80"/>
      <c r="EN215" s="80"/>
      <c r="EO215" s="80"/>
      <c r="EP215" s="80"/>
      <c r="EQ215" s="80"/>
      <c r="ER215" s="80"/>
      <c r="ES215" s="80"/>
      <c r="ET215" s="80"/>
      <c r="EU215" s="80"/>
      <c r="EV215" s="80"/>
      <c r="EW215" s="80"/>
      <c r="EX215" s="80"/>
      <c r="EY215" s="80"/>
      <c r="EZ215" s="80"/>
      <c r="FA215" s="80"/>
      <c r="FB215" s="80"/>
      <c r="FC215" s="80"/>
      <c r="FD215" s="80"/>
      <c r="FE215" s="80"/>
      <c r="FF215" s="80"/>
      <c r="FG215" s="80"/>
      <c r="FH215" s="80"/>
      <c r="FI215" s="80"/>
      <c r="FJ215" s="80"/>
      <c r="FK215" s="80"/>
      <c r="FL215" s="80"/>
      <c r="FM215" s="80"/>
      <c r="FN215" s="80"/>
      <c r="FO215" s="80"/>
      <c r="FP215" s="80"/>
      <c r="FQ215" s="80"/>
      <c r="FR215" s="80"/>
      <c r="FS215" s="80"/>
      <c r="FT215" s="80"/>
      <c r="FU215" s="80"/>
      <c r="FV215" s="80"/>
      <c r="FW215" s="80"/>
      <c r="FX215" s="80"/>
      <c r="FY215" s="80"/>
      <c r="FZ215" s="80"/>
      <c r="GA215" s="80"/>
      <c r="GB215" s="80"/>
      <c r="GC215" s="80"/>
      <c r="GD215" s="80"/>
      <c r="GE215" s="80"/>
      <c r="GF215" s="80"/>
      <c r="GG215" s="80"/>
      <c r="GH215" s="80"/>
      <c r="GI215" s="80"/>
      <c r="GJ215" s="80"/>
      <c r="GK215" s="80"/>
      <c r="GL215" s="80"/>
      <c r="GM215" s="80"/>
      <c r="GN215" s="80"/>
      <c r="GO215" s="80"/>
      <c r="GP215" s="80"/>
      <c r="GQ215" s="80"/>
      <c r="GR215" s="80"/>
      <c r="GS215" s="80"/>
      <c r="GT215" s="80"/>
      <c r="GU215" s="80"/>
      <c r="GV215" s="80"/>
      <c r="GW215" s="80"/>
      <c r="GX215" s="80"/>
      <c r="GY215" s="80"/>
      <c r="GZ215" s="80"/>
      <c r="HA215" s="80"/>
      <c r="HB215" s="80"/>
      <c r="HC215" s="80"/>
      <c r="HD215" s="80"/>
      <c r="HE215" s="80"/>
      <c r="HF215" s="80"/>
      <c r="HG215" s="80"/>
      <c r="HH215" s="80"/>
      <c r="HI215" s="80"/>
      <c r="HJ215" s="80"/>
      <c r="HK215" s="80"/>
      <c r="HL215" s="80"/>
      <c r="HM215" s="80"/>
      <c r="HN215" s="78"/>
      <c r="HO215" s="79"/>
      <c r="HP215" s="79"/>
      <c r="HQ215" s="79"/>
      <c r="HR215" s="79"/>
      <c r="HS215" s="79"/>
      <c r="HT215" s="132"/>
    </row>
    <row r="216" spans="1:228" s="77" customFormat="1" ht="15.75" customHeight="1" outlineLevel="1" x14ac:dyDescent="0.25">
      <c r="A216" s="78" t="s">
        <v>26</v>
      </c>
      <c r="B216" s="79" t="s">
        <v>49</v>
      </c>
      <c r="C216" s="79" t="s">
        <v>18</v>
      </c>
      <c r="D216" s="79" t="s">
        <v>25</v>
      </c>
      <c r="E216" s="79" t="s">
        <v>391</v>
      </c>
      <c r="F216" s="79" t="s">
        <v>9</v>
      </c>
      <c r="G216" s="316">
        <f t="shared" si="94"/>
        <v>0</v>
      </c>
      <c r="H216" s="316">
        <f t="shared" si="94"/>
        <v>0</v>
      </c>
      <c r="I216" s="338">
        <f t="shared" si="94"/>
        <v>0</v>
      </c>
      <c r="J216" s="338">
        <f t="shared" si="94"/>
        <v>0</v>
      </c>
      <c r="K216" s="408">
        <f t="shared" si="94"/>
        <v>0</v>
      </c>
      <c r="L216" s="408">
        <f t="shared" si="94"/>
        <v>0</v>
      </c>
      <c r="M216" s="322">
        <f t="shared" si="94"/>
        <v>0</v>
      </c>
      <c r="N216" s="322">
        <f t="shared" si="94"/>
        <v>0</v>
      </c>
      <c r="O216" s="312">
        <f t="shared" si="94"/>
        <v>0</v>
      </c>
      <c r="P216" s="312">
        <f t="shared" si="94"/>
        <v>0</v>
      </c>
      <c r="Q216" s="322">
        <f t="shared" si="94"/>
        <v>0</v>
      </c>
      <c r="R216" s="322">
        <f t="shared" si="94"/>
        <v>0</v>
      </c>
      <c r="S216" s="312">
        <f t="shared" si="94"/>
        <v>0</v>
      </c>
      <c r="T216" s="312">
        <f t="shared" si="94"/>
        <v>0</v>
      </c>
      <c r="U216" s="132">
        <f t="shared" si="69"/>
        <v>0</v>
      </c>
      <c r="V216" s="132">
        <f t="shared" si="70"/>
        <v>0</v>
      </c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  <c r="AO216" s="80"/>
      <c r="AP216" s="80"/>
      <c r="AQ216" s="80"/>
      <c r="AR216" s="80"/>
      <c r="AS216" s="80"/>
      <c r="AT216" s="80"/>
      <c r="AU216" s="80"/>
      <c r="AV216" s="80"/>
      <c r="AW216" s="80"/>
      <c r="AX216" s="80"/>
      <c r="AY216" s="80"/>
      <c r="AZ216" s="80"/>
      <c r="BA216" s="80"/>
      <c r="BB216" s="80"/>
      <c r="BC216" s="80"/>
      <c r="BD216" s="80"/>
      <c r="BE216" s="80"/>
      <c r="BF216" s="80"/>
      <c r="BG216" s="80"/>
      <c r="BH216" s="80"/>
      <c r="BI216" s="80"/>
      <c r="BJ216" s="80"/>
      <c r="BK216" s="80"/>
      <c r="BL216" s="80"/>
      <c r="BM216" s="80"/>
      <c r="BN216" s="80"/>
      <c r="BO216" s="80"/>
      <c r="BP216" s="80"/>
      <c r="BQ216" s="80"/>
      <c r="BR216" s="80"/>
      <c r="BS216" s="80"/>
      <c r="BT216" s="80"/>
      <c r="BU216" s="80"/>
      <c r="BV216" s="80"/>
      <c r="BW216" s="80"/>
      <c r="BX216" s="80"/>
      <c r="BY216" s="80"/>
      <c r="BZ216" s="80"/>
      <c r="CA216" s="80"/>
      <c r="CB216" s="80"/>
      <c r="CC216" s="80"/>
      <c r="CD216" s="80"/>
      <c r="CE216" s="80"/>
      <c r="CF216" s="80"/>
      <c r="CG216" s="80"/>
      <c r="CH216" s="80"/>
      <c r="CI216" s="80"/>
      <c r="CJ216" s="80"/>
      <c r="CK216" s="80"/>
      <c r="CL216" s="80"/>
      <c r="CM216" s="80"/>
      <c r="CN216" s="80"/>
      <c r="CO216" s="80"/>
      <c r="CP216" s="80"/>
      <c r="CQ216" s="80"/>
      <c r="CR216" s="80"/>
      <c r="CS216" s="80"/>
      <c r="CT216" s="80"/>
      <c r="CU216" s="80"/>
      <c r="CV216" s="80"/>
      <c r="CW216" s="80"/>
      <c r="CX216" s="80"/>
      <c r="CY216" s="80"/>
      <c r="CZ216" s="80"/>
      <c r="DA216" s="80"/>
      <c r="DB216" s="80"/>
      <c r="DC216" s="80"/>
      <c r="DD216" s="80"/>
      <c r="DE216" s="80"/>
      <c r="DF216" s="80"/>
      <c r="DG216" s="80"/>
      <c r="DH216" s="80"/>
      <c r="DI216" s="80"/>
      <c r="DJ216" s="80"/>
      <c r="DK216" s="80"/>
      <c r="DL216" s="80"/>
      <c r="DM216" s="80"/>
      <c r="DN216" s="80"/>
      <c r="DO216" s="80"/>
      <c r="DP216" s="80"/>
      <c r="DQ216" s="80"/>
      <c r="DR216" s="80"/>
      <c r="DS216" s="80"/>
      <c r="DT216" s="80"/>
      <c r="DU216" s="80"/>
      <c r="DV216" s="80"/>
      <c r="DW216" s="80"/>
      <c r="DX216" s="80"/>
      <c r="DY216" s="80"/>
      <c r="DZ216" s="80"/>
      <c r="EA216" s="80"/>
      <c r="EB216" s="80"/>
      <c r="EC216" s="80"/>
      <c r="ED216" s="80"/>
      <c r="EE216" s="80"/>
      <c r="EF216" s="80"/>
      <c r="EG216" s="80"/>
      <c r="EH216" s="80"/>
      <c r="EI216" s="80"/>
      <c r="EJ216" s="80"/>
      <c r="EK216" s="80"/>
      <c r="EL216" s="80"/>
      <c r="EM216" s="80"/>
      <c r="EN216" s="80"/>
      <c r="EO216" s="80"/>
      <c r="EP216" s="80"/>
      <c r="EQ216" s="80"/>
      <c r="ER216" s="80"/>
      <c r="ES216" s="80"/>
      <c r="ET216" s="80"/>
      <c r="EU216" s="80"/>
      <c r="EV216" s="80"/>
      <c r="EW216" s="80"/>
      <c r="EX216" s="80"/>
      <c r="EY216" s="80"/>
      <c r="EZ216" s="80"/>
      <c r="FA216" s="80"/>
      <c r="FB216" s="80"/>
      <c r="FC216" s="80"/>
      <c r="FD216" s="80"/>
      <c r="FE216" s="80"/>
      <c r="FF216" s="80"/>
      <c r="FG216" s="80"/>
      <c r="FH216" s="80"/>
      <c r="FI216" s="80"/>
      <c r="FJ216" s="80"/>
      <c r="FK216" s="80"/>
      <c r="FL216" s="80"/>
      <c r="FM216" s="80"/>
      <c r="FN216" s="80"/>
      <c r="FO216" s="80"/>
      <c r="FP216" s="80"/>
      <c r="FQ216" s="80"/>
      <c r="FR216" s="80"/>
      <c r="FS216" s="80"/>
      <c r="FT216" s="80"/>
      <c r="FU216" s="80"/>
      <c r="FV216" s="80"/>
      <c r="FW216" s="80"/>
      <c r="FX216" s="80"/>
      <c r="FY216" s="80"/>
      <c r="FZ216" s="80"/>
      <c r="GA216" s="80"/>
      <c r="GB216" s="80"/>
      <c r="GC216" s="80"/>
      <c r="GD216" s="80"/>
      <c r="GE216" s="80"/>
      <c r="GF216" s="80"/>
      <c r="GG216" s="80"/>
      <c r="GH216" s="80"/>
      <c r="GI216" s="80"/>
      <c r="GJ216" s="80"/>
      <c r="GK216" s="80"/>
      <c r="GL216" s="80"/>
      <c r="GM216" s="80"/>
      <c r="GN216" s="80"/>
      <c r="GO216" s="80"/>
      <c r="GP216" s="80"/>
      <c r="GQ216" s="80"/>
      <c r="GR216" s="80"/>
      <c r="GS216" s="80"/>
      <c r="GT216" s="80"/>
      <c r="GU216" s="80"/>
      <c r="GV216" s="80"/>
      <c r="GW216" s="80"/>
      <c r="GX216" s="80"/>
      <c r="GY216" s="80"/>
      <c r="GZ216" s="80"/>
      <c r="HA216" s="80"/>
      <c r="HB216" s="80"/>
      <c r="HC216" s="80"/>
      <c r="HD216" s="80"/>
      <c r="HE216" s="80"/>
      <c r="HF216" s="80"/>
      <c r="HG216" s="80"/>
      <c r="HH216" s="80"/>
      <c r="HI216" s="80"/>
      <c r="HJ216" s="80"/>
      <c r="HK216" s="80"/>
      <c r="HL216" s="80"/>
      <c r="HM216" s="80"/>
      <c r="HN216" s="78"/>
      <c r="HO216" s="79"/>
      <c r="HP216" s="79"/>
      <c r="HQ216" s="79"/>
      <c r="HR216" s="79"/>
      <c r="HS216" s="79"/>
      <c r="HT216" s="132"/>
    </row>
    <row r="217" spans="1:228" s="77" customFormat="1" ht="63" customHeight="1" outlineLevel="1" x14ac:dyDescent="0.25">
      <c r="A217" s="74" t="s">
        <v>115</v>
      </c>
      <c r="B217" s="75" t="s">
        <v>49</v>
      </c>
      <c r="C217" s="75" t="s">
        <v>18</v>
      </c>
      <c r="D217" s="75" t="s">
        <v>25</v>
      </c>
      <c r="E217" s="75" t="s">
        <v>391</v>
      </c>
      <c r="F217" s="75" t="s">
        <v>113</v>
      </c>
      <c r="G217" s="311"/>
      <c r="H217" s="311"/>
      <c r="I217" s="320"/>
      <c r="J217" s="320"/>
      <c r="K217" s="409"/>
      <c r="L217" s="409"/>
      <c r="M217" s="323"/>
      <c r="N217" s="323"/>
      <c r="O217" s="313"/>
      <c r="P217" s="313"/>
      <c r="Q217" s="323"/>
      <c r="R217" s="323"/>
      <c r="S217" s="313"/>
      <c r="T217" s="313"/>
      <c r="U217" s="131">
        <f t="shared" si="69"/>
        <v>0</v>
      </c>
      <c r="V217" s="131">
        <f t="shared" si="70"/>
        <v>0</v>
      </c>
      <c r="HN217" s="74"/>
      <c r="HO217" s="75"/>
      <c r="HP217" s="75"/>
      <c r="HQ217" s="75"/>
      <c r="HR217" s="75"/>
      <c r="HS217" s="75"/>
      <c r="HT217" s="131"/>
    </row>
    <row r="218" spans="1:228" s="77" customFormat="1" ht="15.75" customHeight="1" outlineLevel="1" x14ac:dyDescent="0.25">
      <c r="A218" s="74" t="s">
        <v>97</v>
      </c>
      <c r="B218" s="75" t="s">
        <v>49</v>
      </c>
      <c r="C218" s="75" t="s">
        <v>51</v>
      </c>
      <c r="D218" s="75" t="s">
        <v>10</v>
      </c>
      <c r="E218" s="75" t="s">
        <v>365</v>
      </c>
      <c r="F218" s="75" t="s">
        <v>9</v>
      </c>
      <c r="G218" s="311">
        <f t="shared" ref="G218:T221" si="95">G219</f>
        <v>0</v>
      </c>
      <c r="H218" s="311">
        <f t="shared" si="95"/>
        <v>0</v>
      </c>
      <c r="I218" s="320">
        <f t="shared" si="95"/>
        <v>0</v>
      </c>
      <c r="J218" s="320">
        <f t="shared" si="95"/>
        <v>0</v>
      </c>
      <c r="K218" s="407">
        <f t="shared" si="95"/>
        <v>0</v>
      </c>
      <c r="L218" s="407">
        <f t="shared" si="95"/>
        <v>0</v>
      </c>
      <c r="M218" s="321">
        <f t="shared" si="95"/>
        <v>0</v>
      </c>
      <c r="N218" s="321">
        <f t="shared" si="95"/>
        <v>0</v>
      </c>
      <c r="O218" s="310">
        <f t="shared" si="95"/>
        <v>0</v>
      </c>
      <c r="P218" s="310">
        <f t="shared" si="95"/>
        <v>0</v>
      </c>
      <c r="Q218" s="321">
        <f t="shared" si="95"/>
        <v>0</v>
      </c>
      <c r="R218" s="321">
        <f t="shared" si="95"/>
        <v>0</v>
      </c>
      <c r="S218" s="310">
        <f t="shared" si="95"/>
        <v>0</v>
      </c>
      <c r="T218" s="310">
        <f t="shared" si="95"/>
        <v>0</v>
      </c>
      <c r="U218" s="131">
        <f t="shared" si="69"/>
        <v>0</v>
      </c>
      <c r="V218" s="131">
        <f t="shared" si="70"/>
        <v>0</v>
      </c>
    </row>
    <row r="219" spans="1:228" s="80" customFormat="1" ht="15.75" customHeight="1" outlineLevel="1" x14ac:dyDescent="0.25">
      <c r="A219" s="78" t="s">
        <v>98</v>
      </c>
      <c r="B219" s="79" t="s">
        <v>49</v>
      </c>
      <c r="C219" s="79" t="s">
        <v>51</v>
      </c>
      <c r="D219" s="79" t="s">
        <v>36</v>
      </c>
      <c r="E219" s="79" t="s">
        <v>365</v>
      </c>
      <c r="F219" s="79" t="s">
        <v>9</v>
      </c>
      <c r="G219" s="316">
        <f t="shared" si="95"/>
        <v>0</v>
      </c>
      <c r="H219" s="316">
        <f t="shared" si="95"/>
        <v>0</v>
      </c>
      <c r="I219" s="338">
        <f t="shared" si="95"/>
        <v>0</v>
      </c>
      <c r="J219" s="338">
        <f t="shared" si="95"/>
        <v>0</v>
      </c>
      <c r="K219" s="408">
        <f t="shared" si="95"/>
        <v>0</v>
      </c>
      <c r="L219" s="408">
        <f t="shared" si="95"/>
        <v>0</v>
      </c>
      <c r="M219" s="322">
        <f t="shared" si="95"/>
        <v>0</v>
      </c>
      <c r="N219" s="322">
        <f t="shared" si="95"/>
        <v>0</v>
      </c>
      <c r="O219" s="312">
        <f t="shared" si="95"/>
        <v>0</v>
      </c>
      <c r="P219" s="312">
        <f t="shared" si="95"/>
        <v>0</v>
      </c>
      <c r="Q219" s="322">
        <f t="shared" si="95"/>
        <v>0</v>
      </c>
      <c r="R219" s="322">
        <f t="shared" si="95"/>
        <v>0</v>
      </c>
      <c r="S219" s="312">
        <f t="shared" si="95"/>
        <v>0</v>
      </c>
      <c r="T219" s="312">
        <f t="shared" si="95"/>
        <v>0</v>
      </c>
      <c r="U219" s="132">
        <f t="shared" si="69"/>
        <v>0</v>
      </c>
      <c r="V219" s="132">
        <f t="shared" si="70"/>
        <v>0</v>
      </c>
    </row>
    <row r="220" spans="1:228" s="80" customFormat="1" ht="31.5" customHeight="1" outlineLevel="1" x14ac:dyDescent="0.25">
      <c r="A220" s="78" t="s">
        <v>785</v>
      </c>
      <c r="B220" s="79" t="s">
        <v>49</v>
      </c>
      <c r="C220" s="79" t="s">
        <v>51</v>
      </c>
      <c r="D220" s="79" t="s">
        <v>36</v>
      </c>
      <c r="E220" s="79" t="s">
        <v>389</v>
      </c>
      <c r="F220" s="79" t="s">
        <v>9</v>
      </c>
      <c r="G220" s="316">
        <f t="shared" si="95"/>
        <v>0</v>
      </c>
      <c r="H220" s="316">
        <f t="shared" si="95"/>
        <v>0</v>
      </c>
      <c r="I220" s="338">
        <f t="shared" si="95"/>
        <v>0</v>
      </c>
      <c r="J220" s="338">
        <f t="shared" si="95"/>
        <v>0</v>
      </c>
      <c r="K220" s="408">
        <f t="shared" si="95"/>
        <v>0</v>
      </c>
      <c r="L220" s="408">
        <f t="shared" si="95"/>
        <v>0</v>
      </c>
      <c r="M220" s="322">
        <f t="shared" si="95"/>
        <v>0</v>
      </c>
      <c r="N220" s="322">
        <f t="shared" si="95"/>
        <v>0</v>
      </c>
      <c r="O220" s="312">
        <f t="shared" si="95"/>
        <v>0</v>
      </c>
      <c r="P220" s="312">
        <f t="shared" si="95"/>
        <v>0</v>
      </c>
      <c r="Q220" s="322">
        <f t="shared" si="95"/>
        <v>0</v>
      </c>
      <c r="R220" s="322">
        <f t="shared" si="95"/>
        <v>0</v>
      </c>
      <c r="S220" s="312">
        <f t="shared" si="95"/>
        <v>0</v>
      </c>
      <c r="T220" s="312">
        <f t="shared" si="95"/>
        <v>0</v>
      </c>
      <c r="U220" s="132">
        <f t="shared" si="69"/>
        <v>0</v>
      </c>
      <c r="V220" s="132">
        <f t="shared" si="70"/>
        <v>0</v>
      </c>
    </row>
    <row r="221" spans="1:228" s="80" customFormat="1" ht="47.25" customHeight="1" outlineLevel="1" x14ac:dyDescent="0.25">
      <c r="A221" s="78" t="s">
        <v>658</v>
      </c>
      <c r="B221" s="79" t="s">
        <v>49</v>
      </c>
      <c r="C221" s="79" t="s">
        <v>51</v>
      </c>
      <c r="D221" s="79" t="s">
        <v>36</v>
      </c>
      <c r="E221" s="79" t="s">
        <v>657</v>
      </c>
      <c r="F221" s="79" t="s">
        <v>9</v>
      </c>
      <c r="G221" s="316">
        <f t="shared" si="95"/>
        <v>0</v>
      </c>
      <c r="H221" s="316">
        <f t="shared" si="95"/>
        <v>0</v>
      </c>
      <c r="I221" s="338">
        <f t="shared" si="95"/>
        <v>0</v>
      </c>
      <c r="J221" s="338">
        <f t="shared" si="95"/>
        <v>0</v>
      </c>
      <c r="K221" s="408">
        <f t="shared" si="95"/>
        <v>0</v>
      </c>
      <c r="L221" s="408">
        <f t="shared" si="95"/>
        <v>0</v>
      </c>
      <c r="M221" s="322">
        <f t="shared" si="95"/>
        <v>0</v>
      </c>
      <c r="N221" s="322">
        <f t="shared" si="95"/>
        <v>0</v>
      </c>
      <c r="O221" s="312">
        <f t="shared" si="95"/>
        <v>0</v>
      </c>
      <c r="P221" s="312">
        <f t="shared" si="95"/>
        <v>0</v>
      </c>
      <c r="Q221" s="322">
        <f t="shared" si="95"/>
        <v>0</v>
      </c>
      <c r="R221" s="322">
        <f t="shared" si="95"/>
        <v>0</v>
      </c>
      <c r="S221" s="312">
        <f t="shared" si="95"/>
        <v>0</v>
      </c>
      <c r="T221" s="312">
        <f t="shared" si="95"/>
        <v>0</v>
      </c>
      <c r="U221" s="132">
        <f t="shared" ref="U221:U284" si="96">G221+K221+M221+O221+Q221+S221+H221</f>
        <v>0</v>
      </c>
      <c r="V221" s="132">
        <f t="shared" ref="V221:V284" si="97">I221+L221+N221+P221+R221+T221+J221</f>
        <v>0</v>
      </c>
    </row>
    <row r="222" spans="1:228" s="77" customFormat="1" ht="15.75" customHeight="1" outlineLevel="1" x14ac:dyDescent="0.25">
      <c r="A222" s="74" t="s">
        <v>123</v>
      </c>
      <c r="B222" s="75" t="s">
        <v>49</v>
      </c>
      <c r="C222" s="75" t="s">
        <v>51</v>
      </c>
      <c r="D222" s="75" t="s">
        <v>36</v>
      </c>
      <c r="E222" s="75" t="s">
        <v>657</v>
      </c>
      <c r="F222" s="75" t="s">
        <v>119</v>
      </c>
      <c r="G222" s="311"/>
      <c r="H222" s="311"/>
      <c r="I222" s="320"/>
      <c r="J222" s="320"/>
      <c r="K222" s="409"/>
      <c r="L222" s="409"/>
      <c r="M222" s="323"/>
      <c r="N222" s="323"/>
      <c r="O222" s="313"/>
      <c r="P222" s="313"/>
      <c r="Q222" s="323"/>
      <c r="R222" s="323"/>
      <c r="S222" s="313"/>
      <c r="T222" s="313"/>
      <c r="U222" s="131">
        <f t="shared" si="96"/>
        <v>0</v>
      </c>
      <c r="V222" s="131">
        <f t="shared" si="97"/>
        <v>0</v>
      </c>
    </row>
    <row r="223" spans="1:228" s="77" customFormat="1" x14ac:dyDescent="0.25">
      <c r="A223" s="74" t="s">
        <v>59</v>
      </c>
      <c r="B223" s="75" t="s">
        <v>49</v>
      </c>
      <c r="C223" s="75" t="s">
        <v>28</v>
      </c>
      <c r="D223" s="75" t="s">
        <v>10</v>
      </c>
      <c r="E223" s="75" t="s">
        <v>365</v>
      </c>
      <c r="F223" s="75" t="s">
        <v>9</v>
      </c>
      <c r="G223" s="311">
        <f t="shared" ref="G223:T226" si="98">G224</f>
        <v>0</v>
      </c>
      <c r="H223" s="311">
        <f t="shared" si="98"/>
        <v>3685.7</v>
      </c>
      <c r="I223" s="320">
        <f t="shared" si="98"/>
        <v>0</v>
      </c>
      <c r="J223" s="320">
        <f t="shared" si="98"/>
        <v>3686.0887699999998</v>
      </c>
      <c r="K223" s="407">
        <f t="shared" si="98"/>
        <v>0</v>
      </c>
      <c r="L223" s="407">
        <f t="shared" si="98"/>
        <v>0</v>
      </c>
      <c r="M223" s="321">
        <f t="shared" si="98"/>
        <v>0</v>
      </c>
      <c r="N223" s="321">
        <f t="shared" si="98"/>
        <v>0</v>
      </c>
      <c r="O223" s="310">
        <f t="shared" si="98"/>
        <v>0</v>
      </c>
      <c r="P223" s="310">
        <f t="shared" si="98"/>
        <v>0</v>
      </c>
      <c r="Q223" s="321">
        <f t="shared" si="98"/>
        <v>0</v>
      </c>
      <c r="R223" s="321">
        <f t="shared" si="98"/>
        <v>0</v>
      </c>
      <c r="S223" s="310">
        <f t="shared" si="98"/>
        <v>0</v>
      </c>
      <c r="T223" s="310">
        <f t="shared" si="98"/>
        <v>0</v>
      </c>
      <c r="U223" s="131">
        <f t="shared" si="96"/>
        <v>3685.7</v>
      </c>
      <c r="V223" s="131">
        <f t="shared" si="97"/>
        <v>3686.0887699999998</v>
      </c>
    </row>
    <row r="224" spans="1:228" s="80" customFormat="1" ht="31.5" x14ac:dyDescent="0.25">
      <c r="A224" s="78" t="s">
        <v>60</v>
      </c>
      <c r="B224" s="79" t="s">
        <v>49</v>
      </c>
      <c r="C224" s="79" t="s">
        <v>28</v>
      </c>
      <c r="D224" s="79" t="s">
        <v>14</v>
      </c>
      <c r="E224" s="79" t="s">
        <v>365</v>
      </c>
      <c r="F224" s="79" t="s">
        <v>9</v>
      </c>
      <c r="G224" s="316">
        <f t="shared" si="98"/>
        <v>0</v>
      </c>
      <c r="H224" s="316">
        <f t="shared" si="98"/>
        <v>3685.7</v>
      </c>
      <c r="I224" s="338">
        <f t="shared" si="98"/>
        <v>0</v>
      </c>
      <c r="J224" s="338">
        <f t="shared" si="98"/>
        <v>3686.0887699999998</v>
      </c>
      <c r="K224" s="408">
        <f t="shared" si="98"/>
        <v>0</v>
      </c>
      <c r="L224" s="408">
        <f t="shared" si="98"/>
        <v>0</v>
      </c>
      <c r="M224" s="322">
        <f t="shared" si="98"/>
        <v>0</v>
      </c>
      <c r="N224" s="322">
        <f t="shared" si="98"/>
        <v>0</v>
      </c>
      <c r="O224" s="312">
        <f t="shared" si="98"/>
        <v>0</v>
      </c>
      <c r="P224" s="312">
        <f t="shared" si="98"/>
        <v>0</v>
      </c>
      <c r="Q224" s="322">
        <f t="shared" si="98"/>
        <v>0</v>
      </c>
      <c r="R224" s="322">
        <f t="shared" si="98"/>
        <v>0</v>
      </c>
      <c r="S224" s="312">
        <f t="shared" si="98"/>
        <v>0</v>
      </c>
      <c r="T224" s="312">
        <f t="shared" si="98"/>
        <v>0</v>
      </c>
      <c r="U224" s="132">
        <f t="shared" si="96"/>
        <v>3685.7</v>
      </c>
      <c r="V224" s="132">
        <f t="shared" si="97"/>
        <v>3686.0887699999998</v>
      </c>
    </row>
    <row r="225" spans="1:22" s="80" customFormat="1" ht="31.5" x14ac:dyDescent="0.25">
      <c r="A225" s="78" t="s">
        <v>785</v>
      </c>
      <c r="B225" s="79" t="s">
        <v>49</v>
      </c>
      <c r="C225" s="79" t="s">
        <v>28</v>
      </c>
      <c r="D225" s="79" t="s">
        <v>14</v>
      </c>
      <c r="E225" s="79" t="s">
        <v>389</v>
      </c>
      <c r="F225" s="79" t="s">
        <v>9</v>
      </c>
      <c r="G225" s="316">
        <f t="shared" si="98"/>
        <v>0</v>
      </c>
      <c r="H225" s="316">
        <f t="shared" si="98"/>
        <v>3685.7</v>
      </c>
      <c r="I225" s="338">
        <f t="shared" si="98"/>
        <v>0</v>
      </c>
      <c r="J225" s="338">
        <f t="shared" si="98"/>
        <v>3686.0887699999998</v>
      </c>
      <c r="K225" s="408">
        <f t="shared" si="98"/>
        <v>0</v>
      </c>
      <c r="L225" s="408">
        <f t="shared" si="98"/>
        <v>0</v>
      </c>
      <c r="M225" s="322">
        <f t="shared" si="98"/>
        <v>0</v>
      </c>
      <c r="N225" s="322">
        <f t="shared" si="98"/>
        <v>0</v>
      </c>
      <c r="O225" s="312">
        <f t="shared" si="98"/>
        <v>0</v>
      </c>
      <c r="P225" s="312">
        <f t="shared" si="98"/>
        <v>0</v>
      </c>
      <c r="Q225" s="322">
        <f t="shared" si="98"/>
        <v>0</v>
      </c>
      <c r="R225" s="322">
        <f t="shared" si="98"/>
        <v>0</v>
      </c>
      <c r="S225" s="312">
        <f t="shared" si="98"/>
        <v>0</v>
      </c>
      <c r="T225" s="312">
        <f t="shared" si="98"/>
        <v>0</v>
      </c>
      <c r="U225" s="132">
        <f t="shared" si="96"/>
        <v>3685.7</v>
      </c>
      <c r="V225" s="132">
        <f t="shared" si="97"/>
        <v>3686.0887699999998</v>
      </c>
    </row>
    <row r="226" spans="1:22" s="80" customFormat="1" x14ac:dyDescent="0.25">
      <c r="A226" s="78" t="s">
        <v>61</v>
      </c>
      <c r="B226" s="79" t="s">
        <v>49</v>
      </c>
      <c r="C226" s="79" t="s">
        <v>28</v>
      </c>
      <c r="D226" s="79" t="s">
        <v>14</v>
      </c>
      <c r="E226" s="79" t="s">
        <v>400</v>
      </c>
      <c r="F226" s="79" t="s">
        <v>9</v>
      </c>
      <c r="G226" s="316">
        <f t="shared" si="98"/>
        <v>0</v>
      </c>
      <c r="H226" s="316">
        <f t="shared" si="98"/>
        <v>3685.7</v>
      </c>
      <c r="I226" s="338">
        <f t="shared" si="98"/>
        <v>0</v>
      </c>
      <c r="J226" s="338">
        <f t="shared" si="98"/>
        <v>3686.0887699999998</v>
      </c>
      <c r="K226" s="408">
        <f t="shared" si="98"/>
        <v>0</v>
      </c>
      <c r="L226" s="408">
        <f t="shared" si="98"/>
        <v>0</v>
      </c>
      <c r="M226" s="322">
        <f t="shared" si="98"/>
        <v>0</v>
      </c>
      <c r="N226" s="322">
        <f t="shared" si="98"/>
        <v>0</v>
      </c>
      <c r="O226" s="312">
        <f t="shared" si="98"/>
        <v>0</v>
      </c>
      <c r="P226" s="312">
        <f t="shared" si="98"/>
        <v>0</v>
      </c>
      <c r="Q226" s="322">
        <f t="shared" si="98"/>
        <v>0</v>
      </c>
      <c r="R226" s="322">
        <f t="shared" si="98"/>
        <v>0</v>
      </c>
      <c r="S226" s="312">
        <f t="shared" si="98"/>
        <v>0</v>
      </c>
      <c r="T226" s="312">
        <f t="shared" si="98"/>
        <v>0</v>
      </c>
      <c r="U226" s="132">
        <f t="shared" si="96"/>
        <v>3685.7</v>
      </c>
      <c r="V226" s="132">
        <f t="shared" si="97"/>
        <v>3686.0887699999998</v>
      </c>
    </row>
    <row r="227" spans="1:22" s="77" customFormat="1" x14ac:dyDescent="0.25">
      <c r="A227" s="264" t="s">
        <v>126</v>
      </c>
      <c r="B227" s="265" t="s">
        <v>49</v>
      </c>
      <c r="C227" s="265" t="s">
        <v>28</v>
      </c>
      <c r="D227" s="265" t="s">
        <v>14</v>
      </c>
      <c r="E227" s="265" t="s">
        <v>400</v>
      </c>
      <c r="F227" s="265" t="s">
        <v>120</v>
      </c>
      <c r="G227" s="311"/>
      <c r="H227" s="311">
        <f>3600+85.7</f>
        <v>3685.7</v>
      </c>
      <c r="I227" s="320"/>
      <c r="J227" s="319">
        <f>3600+86.08877</f>
        <v>3686.0887699999998</v>
      </c>
      <c r="K227" s="409"/>
      <c r="L227" s="409"/>
      <c r="M227" s="323"/>
      <c r="N227" s="321"/>
      <c r="O227" s="313"/>
      <c r="P227" s="313"/>
      <c r="Q227" s="323"/>
      <c r="R227" s="323"/>
      <c r="S227" s="313"/>
      <c r="T227" s="313"/>
      <c r="U227" s="131">
        <f t="shared" si="96"/>
        <v>3685.7</v>
      </c>
      <c r="V227" s="131">
        <f t="shared" si="97"/>
        <v>3686.0887699999998</v>
      </c>
    </row>
    <row r="228" spans="1:22" s="77" customFormat="1" ht="31.5" x14ac:dyDescent="0.25">
      <c r="A228" s="74" t="s">
        <v>62</v>
      </c>
      <c r="B228" s="75" t="s">
        <v>49</v>
      </c>
      <c r="C228" s="75" t="s">
        <v>63</v>
      </c>
      <c r="D228" s="75" t="s">
        <v>10</v>
      </c>
      <c r="E228" s="75" t="s">
        <v>365</v>
      </c>
      <c r="F228" s="75" t="s">
        <v>9</v>
      </c>
      <c r="G228" s="311">
        <f t="shared" ref="G228:T228" si="99">G229+G237</f>
        <v>5700</v>
      </c>
      <c r="H228" s="311">
        <f>H229+H237</f>
        <v>39618.1</v>
      </c>
      <c r="I228" s="320">
        <f t="shared" si="99"/>
        <v>5700</v>
      </c>
      <c r="J228" s="320">
        <f>J229+J237</f>
        <v>38924.6</v>
      </c>
      <c r="K228" s="407">
        <f t="shared" si="99"/>
        <v>0</v>
      </c>
      <c r="L228" s="407">
        <f t="shared" si="99"/>
        <v>0</v>
      </c>
      <c r="M228" s="321">
        <f t="shared" si="99"/>
        <v>0</v>
      </c>
      <c r="N228" s="321">
        <f t="shared" si="99"/>
        <v>0</v>
      </c>
      <c r="O228" s="310">
        <f t="shared" si="99"/>
        <v>0</v>
      </c>
      <c r="P228" s="310">
        <f t="shared" si="99"/>
        <v>0</v>
      </c>
      <c r="Q228" s="321">
        <f t="shared" si="99"/>
        <v>0</v>
      </c>
      <c r="R228" s="321">
        <f t="shared" si="99"/>
        <v>0</v>
      </c>
      <c r="S228" s="310">
        <f t="shared" si="99"/>
        <v>0</v>
      </c>
      <c r="T228" s="310">
        <f t="shared" si="99"/>
        <v>0</v>
      </c>
      <c r="U228" s="131">
        <f t="shared" si="96"/>
        <v>45318.1</v>
      </c>
      <c r="V228" s="131">
        <f t="shared" si="97"/>
        <v>44624.6</v>
      </c>
    </row>
    <row r="229" spans="1:22" s="80" customFormat="1" ht="31.5" x14ac:dyDescent="0.25">
      <c r="A229" s="78" t="s">
        <v>64</v>
      </c>
      <c r="B229" s="79" t="s">
        <v>49</v>
      </c>
      <c r="C229" s="79" t="s">
        <v>63</v>
      </c>
      <c r="D229" s="79" t="s">
        <v>14</v>
      </c>
      <c r="E229" s="79" t="s">
        <v>365</v>
      </c>
      <c r="F229" s="79" t="s">
        <v>9</v>
      </c>
      <c r="G229" s="316">
        <f t="shared" ref="G229:T229" si="100">G230</f>
        <v>5700</v>
      </c>
      <c r="H229" s="316">
        <f t="shared" si="100"/>
        <v>0</v>
      </c>
      <c r="I229" s="338">
        <f t="shared" si="100"/>
        <v>5700</v>
      </c>
      <c r="J229" s="338">
        <f t="shared" si="100"/>
        <v>0</v>
      </c>
      <c r="K229" s="408">
        <f t="shared" si="100"/>
        <v>0</v>
      </c>
      <c r="L229" s="408">
        <f t="shared" si="100"/>
        <v>0</v>
      </c>
      <c r="M229" s="322">
        <f t="shared" si="100"/>
        <v>0</v>
      </c>
      <c r="N229" s="322">
        <f t="shared" si="100"/>
        <v>0</v>
      </c>
      <c r="O229" s="312">
        <f t="shared" si="100"/>
        <v>0</v>
      </c>
      <c r="P229" s="312">
        <f t="shared" si="100"/>
        <v>0</v>
      </c>
      <c r="Q229" s="322">
        <f t="shared" si="100"/>
        <v>0</v>
      </c>
      <c r="R229" s="322">
        <f t="shared" si="100"/>
        <v>0</v>
      </c>
      <c r="S229" s="312">
        <f t="shared" si="100"/>
        <v>0</v>
      </c>
      <c r="T229" s="312">
        <f t="shared" si="100"/>
        <v>0</v>
      </c>
      <c r="U229" s="132">
        <f t="shared" si="96"/>
        <v>5700</v>
      </c>
      <c r="V229" s="132">
        <f t="shared" si="97"/>
        <v>5700</v>
      </c>
    </row>
    <row r="230" spans="1:22" s="80" customFormat="1" ht="31.5" x14ac:dyDescent="0.25">
      <c r="A230" s="78" t="s">
        <v>785</v>
      </c>
      <c r="B230" s="79" t="s">
        <v>49</v>
      </c>
      <c r="C230" s="79" t="s">
        <v>63</v>
      </c>
      <c r="D230" s="79" t="s">
        <v>14</v>
      </c>
      <c r="E230" s="79" t="s">
        <v>389</v>
      </c>
      <c r="F230" s="79" t="s">
        <v>9</v>
      </c>
      <c r="G230" s="316">
        <f>G231+G234</f>
        <v>5700</v>
      </c>
      <c r="H230" s="316">
        <f>H231+H234</f>
        <v>0</v>
      </c>
      <c r="I230" s="338">
        <f t="shared" ref="I230:T230" si="101">I231+I234</f>
        <v>5700</v>
      </c>
      <c r="J230" s="338">
        <f>J231+J234</f>
        <v>0</v>
      </c>
      <c r="K230" s="408">
        <f t="shared" si="101"/>
        <v>0</v>
      </c>
      <c r="L230" s="408">
        <f t="shared" si="101"/>
        <v>0</v>
      </c>
      <c r="M230" s="322">
        <f t="shared" si="101"/>
        <v>0</v>
      </c>
      <c r="N230" s="322">
        <f t="shared" si="101"/>
        <v>0</v>
      </c>
      <c r="O230" s="312">
        <f t="shared" si="101"/>
        <v>0</v>
      </c>
      <c r="P230" s="312">
        <f t="shared" si="101"/>
        <v>0</v>
      </c>
      <c r="Q230" s="322">
        <f t="shared" si="101"/>
        <v>0</v>
      </c>
      <c r="R230" s="322">
        <f t="shared" si="101"/>
        <v>0</v>
      </c>
      <c r="S230" s="312">
        <f t="shared" si="101"/>
        <v>0</v>
      </c>
      <c r="T230" s="312">
        <f t="shared" si="101"/>
        <v>0</v>
      </c>
      <c r="U230" s="132">
        <f t="shared" si="96"/>
        <v>5700</v>
      </c>
      <c r="V230" s="132">
        <f t="shared" si="97"/>
        <v>5700</v>
      </c>
    </row>
    <row r="231" spans="1:22" s="80" customFormat="1" ht="47.25" x14ac:dyDescent="0.25">
      <c r="A231" s="78" t="s">
        <v>1110</v>
      </c>
      <c r="B231" s="79" t="s">
        <v>49</v>
      </c>
      <c r="C231" s="79" t="s">
        <v>63</v>
      </c>
      <c r="D231" s="79" t="s">
        <v>14</v>
      </c>
      <c r="E231" s="79" t="s">
        <v>396</v>
      </c>
      <c r="F231" s="79" t="s">
        <v>9</v>
      </c>
      <c r="G231" s="316">
        <f t="shared" ref="G231:T232" si="102">G232</f>
        <v>5459</v>
      </c>
      <c r="H231" s="316">
        <f t="shared" si="102"/>
        <v>0</v>
      </c>
      <c r="I231" s="338">
        <f t="shared" si="102"/>
        <v>5448</v>
      </c>
      <c r="J231" s="338">
        <f t="shared" si="102"/>
        <v>0</v>
      </c>
      <c r="K231" s="408">
        <f t="shared" si="102"/>
        <v>0</v>
      </c>
      <c r="L231" s="408">
        <f t="shared" si="102"/>
        <v>0</v>
      </c>
      <c r="M231" s="322">
        <f t="shared" si="102"/>
        <v>0</v>
      </c>
      <c r="N231" s="322">
        <f t="shared" si="102"/>
        <v>0</v>
      </c>
      <c r="O231" s="312">
        <f t="shared" si="102"/>
        <v>0</v>
      </c>
      <c r="P231" s="312">
        <f t="shared" si="102"/>
        <v>0</v>
      </c>
      <c r="Q231" s="322">
        <f t="shared" si="102"/>
        <v>0</v>
      </c>
      <c r="R231" s="322">
        <f t="shared" si="102"/>
        <v>0</v>
      </c>
      <c r="S231" s="312">
        <f t="shared" si="102"/>
        <v>0</v>
      </c>
      <c r="T231" s="312">
        <f t="shared" si="102"/>
        <v>0</v>
      </c>
      <c r="U231" s="132">
        <f t="shared" si="96"/>
        <v>5459</v>
      </c>
      <c r="V231" s="132">
        <f t="shared" si="97"/>
        <v>5448</v>
      </c>
    </row>
    <row r="232" spans="1:22" s="80" customFormat="1" x14ac:dyDescent="0.25">
      <c r="A232" s="78" t="s">
        <v>65</v>
      </c>
      <c r="B232" s="79" t="s">
        <v>49</v>
      </c>
      <c r="C232" s="79" t="s">
        <v>63</v>
      </c>
      <c r="D232" s="79" t="s">
        <v>14</v>
      </c>
      <c r="E232" s="79" t="s">
        <v>401</v>
      </c>
      <c r="F232" s="79" t="s">
        <v>9</v>
      </c>
      <c r="G232" s="316">
        <f t="shared" si="102"/>
        <v>5459</v>
      </c>
      <c r="H232" s="316">
        <f t="shared" si="102"/>
        <v>0</v>
      </c>
      <c r="I232" s="338">
        <f t="shared" si="102"/>
        <v>5448</v>
      </c>
      <c r="J232" s="338">
        <f t="shared" si="102"/>
        <v>0</v>
      </c>
      <c r="K232" s="408">
        <f t="shared" si="102"/>
        <v>0</v>
      </c>
      <c r="L232" s="408">
        <f t="shared" si="102"/>
        <v>0</v>
      </c>
      <c r="M232" s="322">
        <f t="shared" si="102"/>
        <v>0</v>
      </c>
      <c r="N232" s="322">
        <f t="shared" si="102"/>
        <v>0</v>
      </c>
      <c r="O232" s="312">
        <f t="shared" si="102"/>
        <v>0</v>
      </c>
      <c r="P232" s="312">
        <f t="shared" si="102"/>
        <v>0</v>
      </c>
      <c r="Q232" s="322">
        <f t="shared" si="102"/>
        <v>0</v>
      </c>
      <c r="R232" s="322">
        <f t="shared" si="102"/>
        <v>0</v>
      </c>
      <c r="S232" s="312">
        <f t="shared" si="102"/>
        <v>0</v>
      </c>
      <c r="T232" s="312">
        <f t="shared" si="102"/>
        <v>0</v>
      </c>
      <c r="U232" s="132">
        <f t="shared" si="96"/>
        <v>5459</v>
      </c>
      <c r="V232" s="132">
        <f t="shared" si="97"/>
        <v>5448</v>
      </c>
    </row>
    <row r="233" spans="1:22" s="77" customFormat="1" x14ac:dyDescent="0.25">
      <c r="A233" s="74" t="s">
        <v>123</v>
      </c>
      <c r="B233" s="75" t="s">
        <v>49</v>
      </c>
      <c r="C233" s="75" t="s">
        <v>63</v>
      </c>
      <c r="D233" s="75" t="s">
        <v>14</v>
      </c>
      <c r="E233" s="75" t="s">
        <v>401</v>
      </c>
      <c r="F233" s="75" t="s">
        <v>119</v>
      </c>
      <c r="G233" s="311">
        <v>5459</v>
      </c>
      <c r="H233" s="311"/>
      <c r="I233" s="320">
        <v>5448</v>
      </c>
      <c r="J233" s="320"/>
      <c r="K233" s="409"/>
      <c r="L233" s="409"/>
      <c r="M233" s="323"/>
      <c r="N233" s="323"/>
      <c r="O233" s="313"/>
      <c r="P233" s="313"/>
      <c r="Q233" s="323"/>
      <c r="R233" s="323"/>
      <c r="S233" s="313"/>
      <c r="T233" s="313"/>
      <c r="U233" s="131">
        <f t="shared" si="96"/>
        <v>5459</v>
      </c>
      <c r="V233" s="131">
        <f t="shared" si="97"/>
        <v>5448</v>
      </c>
    </row>
    <row r="234" spans="1:22" s="77" customFormat="1" ht="47.25" x14ac:dyDescent="0.25">
      <c r="A234" s="78" t="s">
        <v>208</v>
      </c>
      <c r="B234" s="79" t="s">
        <v>49</v>
      </c>
      <c r="C234" s="79" t="s">
        <v>63</v>
      </c>
      <c r="D234" s="79" t="s">
        <v>14</v>
      </c>
      <c r="E234" s="79" t="s">
        <v>402</v>
      </c>
      <c r="F234" s="79" t="s">
        <v>9</v>
      </c>
      <c r="G234" s="316">
        <f>G235</f>
        <v>241</v>
      </c>
      <c r="H234" s="316">
        <f>H235</f>
        <v>0</v>
      </c>
      <c r="I234" s="338">
        <f t="shared" ref="I234:T235" si="103">I235</f>
        <v>252</v>
      </c>
      <c r="J234" s="338">
        <f t="shared" si="103"/>
        <v>0</v>
      </c>
      <c r="K234" s="408">
        <f t="shared" si="103"/>
        <v>0</v>
      </c>
      <c r="L234" s="408">
        <f t="shared" si="103"/>
        <v>0</v>
      </c>
      <c r="M234" s="322">
        <f t="shared" si="103"/>
        <v>0</v>
      </c>
      <c r="N234" s="322">
        <f t="shared" si="103"/>
        <v>0</v>
      </c>
      <c r="O234" s="312">
        <f t="shared" si="103"/>
        <v>0</v>
      </c>
      <c r="P234" s="312">
        <f t="shared" si="103"/>
        <v>0</v>
      </c>
      <c r="Q234" s="322">
        <f t="shared" si="103"/>
        <v>0</v>
      </c>
      <c r="R234" s="322">
        <f t="shared" si="103"/>
        <v>0</v>
      </c>
      <c r="S234" s="312">
        <f t="shared" si="103"/>
        <v>0</v>
      </c>
      <c r="T234" s="312">
        <f t="shared" si="103"/>
        <v>0</v>
      </c>
      <c r="U234" s="132">
        <f t="shared" si="96"/>
        <v>241</v>
      </c>
      <c r="V234" s="132">
        <f t="shared" si="97"/>
        <v>252</v>
      </c>
    </row>
    <row r="235" spans="1:22" s="80" customFormat="1" x14ac:dyDescent="0.25">
      <c r="A235" s="78" t="s">
        <v>65</v>
      </c>
      <c r="B235" s="79" t="s">
        <v>49</v>
      </c>
      <c r="C235" s="79" t="s">
        <v>63</v>
      </c>
      <c r="D235" s="79" t="s">
        <v>14</v>
      </c>
      <c r="E235" s="79" t="s">
        <v>521</v>
      </c>
      <c r="F235" s="79" t="s">
        <v>9</v>
      </c>
      <c r="G235" s="316">
        <f>G236</f>
        <v>241</v>
      </c>
      <c r="H235" s="316">
        <f>H236</f>
        <v>0</v>
      </c>
      <c r="I235" s="338">
        <f t="shared" si="103"/>
        <v>252</v>
      </c>
      <c r="J235" s="338">
        <f t="shared" si="103"/>
        <v>0</v>
      </c>
      <c r="K235" s="408">
        <f t="shared" si="103"/>
        <v>0</v>
      </c>
      <c r="L235" s="408">
        <f t="shared" si="103"/>
        <v>0</v>
      </c>
      <c r="M235" s="322">
        <f t="shared" si="103"/>
        <v>0</v>
      </c>
      <c r="N235" s="322">
        <f t="shared" si="103"/>
        <v>0</v>
      </c>
      <c r="O235" s="312">
        <f t="shared" si="103"/>
        <v>0</v>
      </c>
      <c r="P235" s="312">
        <f t="shared" si="103"/>
        <v>0</v>
      </c>
      <c r="Q235" s="322">
        <f t="shared" si="103"/>
        <v>0</v>
      </c>
      <c r="R235" s="322">
        <f t="shared" si="103"/>
        <v>0</v>
      </c>
      <c r="S235" s="312">
        <f t="shared" si="103"/>
        <v>0</v>
      </c>
      <c r="T235" s="312">
        <f t="shared" si="103"/>
        <v>0</v>
      </c>
      <c r="U235" s="132">
        <f t="shared" si="96"/>
        <v>241</v>
      </c>
      <c r="V235" s="132">
        <f t="shared" si="97"/>
        <v>252</v>
      </c>
    </row>
    <row r="236" spans="1:22" s="77" customFormat="1" x14ac:dyDescent="0.25">
      <c r="A236" s="74" t="s">
        <v>123</v>
      </c>
      <c r="B236" s="75" t="s">
        <v>49</v>
      </c>
      <c r="C236" s="75" t="s">
        <v>63</v>
      </c>
      <c r="D236" s="75" t="s">
        <v>14</v>
      </c>
      <c r="E236" s="75" t="s">
        <v>521</v>
      </c>
      <c r="F236" s="75" t="s">
        <v>119</v>
      </c>
      <c r="G236" s="311">
        <v>241</v>
      </c>
      <c r="H236" s="311"/>
      <c r="I236" s="320">
        <v>252</v>
      </c>
      <c r="J236" s="320"/>
      <c r="K236" s="409"/>
      <c r="L236" s="409"/>
      <c r="M236" s="323"/>
      <c r="N236" s="323"/>
      <c r="O236" s="313"/>
      <c r="P236" s="313"/>
      <c r="Q236" s="323"/>
      <c r="R236" s="323"/>
      <c r="S236" s="313"/>
      <c r="T236" s="313"/>
      <c r="U236" s="131">
        <f t="shared" si="96"/>
        <v>241</v>
      </c>
      <c r="V236" s="131">
        <f t="shared" si="97"/>
        <v>252</v>
      </c>
    </row>
    <row r="237" spans="1:22" s="80" customFormat="1" x14ac:dyDescent="0.25">
      <c r="A237" s="78" t="s">
        <v>67</v>
      </c>
      <c r="B237" s="79" t="s">
        <v>49</v>
      </c>
      <c r="C237" s="79" t="s">
        <v>63</v>
      </c>
      <c r="D237" s="79" t="s">
        <v>20</v>
      </c>
      <c r="E237" s="79" t="s">
        <v>365</v>
      </c>
      <c r="F237" s="79" t="s">
        <v>9</v>
      </c>
      <c r="G237" s="316">
        <f t="shared" ref="G237:T237" si="104">G238+G261</f>
        <v>0</v>
      </c>
      <c r="H237" s="316">
        <f>H238+H261</f>
        <v>39618.1</v>
      </c>
      <c r="I237" s="338">
        <f t="shared" si="104"/>
        <v>0</v>
      </c>
      <c r="J237" s="338">
        <f>J238+J261</f>
        <v>38924.6</v>
      </c>
      <c r="K237" s="408">
        <f t="shared" si="104"/>
        <v>0</v>
      </c>
      <c r="L237" s="408">
        <f t="shared" si="104"/>
        <v>0</v>
      </c>
      <c r="M237" s="322">
        <f t="shared" si="104"/>
        <v>0</v>
      </c>
      <c r="N237" s="322">
        <f t="shared" si="104"/>
        <v>0</v>
      </c>
      <c r="O237" s="312">
        <f t="shared" si="104"/>
        <v>0</v>
      </c>
      <c r="P237" s="312">
        <f t="shared" si="104"/>
        <v>0</v>
      </c>
      <c r="Q237" s="322">
        <f t="shared" si="104"/>
        <v>0</v>
      </c>
      <c r="R237" s="322">
        <f t="shared" si="104"/>
        <v>0</v>
      </c>
      <c r="S237" s="312">
        <f t="shared" si="104"/>
        <v>0</v>
      </c>
      <c r="T237" s="312">
        <f t="shared" si="104"/>
        <v>0</v>
      </c>
      <c r="U237" s="132">
        <f t="shared" si="96"/>
        <v>39618.1</v>
      </c>
      <c r="V237" s="132">
        <f t="shared" si="97"/>
        <v>38924.6</v>
      </c>
    </row>
    <row r="238" spans="1:22" s="80" customFormat="1" ht="31.5" x14ac:dyDescent="0.25">
      <c r="A238" s="78" t="s">
        <v>785</v>
      </c>
      <c r="B238" s="79" t="s">
        <v>49</v>
      </c>
      <c r="C238" s="79" t="s">
        <v>63</v>
      </c>
      <c r="D238" s="79" t="s">
        <v>20</v>
      </c>
      <c r="E238" s="79" t="s">
        <v>389</v>
      </c>
      <c r="F238" s="79" t="s">
        <v>9</v>
      </c>
      <c r="G238" s="316">
        <f t="shared" ref="G238:T238" si="105">G241+G250+G239+G248+G255</f>
        <v>0</v>
      </c>
      <c r="H238" s="316">
        <f>H241+H250+H239+H248+H255</f>
        <v>39618.1</v>
      </c>
      <c r="I238" s="338">
        <f t="shared" si="105"/>
        <v>0</v>
      </c>
      <c r="J238" s="338">
        <f>J241+J250+J239+J248+J255</f>
        <v>38924.6</v>
      </c>
      <c r="K238" s="408">
        <f t="shared" si="105"/>
        <v>0</v>
      </c>
      <c r="L238" s="408">
        <f t="shared" si="105"/>
        <v>0</v>
      </c>
      <c r="M238" s="322">
        <f t="shared" si="105"/>
        <v>0</v>
      </c>
      <c r="N238" s="322">
        <f t="shared" si="105"/>
        <v>0</v>
      </c>
      <c r="O238" s="312">
        <f t="shared" si="105"/>
        <v>0</v>
      </c>
      <c r="P238" s="312">
        <f t="shared" si="105"/>
        <v>0</v>
      </c>
      <c r="Q238" s="322">
        <f t="shared" si="105"/>
        <v>0</v>
      </c>
      <c r="R238" s="322">
        <f t="shared" si="105"/>
        <v>0</v>
      </c>
      <c r="S238" s="312">
        <f t="shared" si="105"/>
        <v>0</v>
      </c>
      <c r="T238" s="312">
        <f t="shared" si="105"/>
        <v>0</v>
      </c>
      <c r="U238" s="132">
        <f t="shared" si="96"/>
        <v>39618.1</v>
      </c>
      <c r="V238" s="132">
        <f t="shared" si="97"/>
        <v>38924.6</v>
      </c>
    </row>
    <row r="239" spans="1:22" s="80" customFormat="1" ht="31.5" customHeight="1" outlineLevel="1" x14ac:dyDescent="0.25">
      <c r="A239" s="78" t="s">
        <v>952</v>
      </c>
      <c r="B239" s="79" t="s">
        <v>49</v>
      </c>
      <c r="C239" s="79" t="s">
        <v>63</v>
      </c>
      <c r="D239" s="79" t="s">
        <v>20</v>
      </c>
      <c r="E239" s="79" t="s">
        <v>953</v>
      </c>
      <c r="F239" s="79" t="s">
        <v>9</v>
      </c>
      <c r="G239" s="316">
        <f t="shared" ref="G239:T239" si="106">G240</f>
        <v>0</v>
      </c>
      <c r="H239" s="316">
        <f t="shared" si="106"/>
        <v>0</v>
      </c>
      <c r="I239" s="338">
        <f t="shared" si="106"/>
        <v>0</v>
      </c>
      <c r="J239" s="338">
        <f t="shared" si="106"/>
        <v>0</v>
      </c>
      <c r="K239" s="408">
        <f t="shared" si="106"/>
        <v>0</v>
      </c>
      <c r="L239" s="408">
        <f t="shared" si="106"/>
        <v>0</v>
      </c>
      <c r="M239" s="322">
        <f t="shared" si="106"/>
        <v>0</v>
      </c>
      <c r="N239" s="322">
        <f t="shared" si="106"/>
        <v>0</v>
      </c>
      <c r="O239" s="312">
        <f t="shared" si="106"/>
        <v>0</v>
      </c>
      <c r="P239" s="312">
        <f t="shared" si="106"/>
        <v>0</v>
      </c>
      <c r="Q239" s="322">
        <f t="shared" si="106"/>
        <v>0</v>
      </c>
      <c r="R239" s="322">
        <f t="shared" si="106"/>
        <v>0</v>
      </c>
      <c r="S239" s="312">
        <f t="shared" si="106"/>
        <v>0</v>
      </c>
      <c r="T239" s="312">
        <f t="shared" si="106"/>
        <v>0</v>
      </c>
      <c r="U239" s="132">
        <f t="shared" si="96"/>
        <v>0</v>
      </c>
      <c r="V239" s="132">
        <f t="shared" si="97"/>
        <v>0</v>
      </c>
    </row>
    <row r="240" spans="1:22" s="80" customFormat="1" ht="15.75" customHeight="1" outlineLevel="1" x14ac:dyDescent="0.25">
      <c r="A240" s="264" t="s">
        <v>123</v>
      </c>
      <c r="B240" s="265" t="s">
        <v>49</v>
      </c>
      <c r="C240" s="265" t="s">
        <v>63</v>
      </c>
      <c r="D240" s="265" t="s">
        <v>20</v>
      </c>
      <c r="E240" s="265" t="s">
        <v>953</v>
      </c>
      <c r="F240" s="265" t="s">
        <v>119</v>
      </c>
      <c r="G240" s="311"/>
      <c r="H240" s="311"/>
      <c r="I240" s="320"/>
      <c r="J240" s="320"/>
      <c r="K240" s="407"/>
      <c r="L240" s="407"/>
      <c r="M240" s="321"/>
      <c r="N240" s="321"/>
      <c r="O240" s="310"/>
      <c r="P240" s="310"/>
      <c r="Q240" s="321"/>
      <c r="R240" s="321"/>
      <c r="S240" s="310"/>
      <c r="T240" s="310"/>
      <c r="U240" s="131">
        <f t="shared" si="96"/>
        <v>0</v>
      </c>
      <c r="V240" s="131">
        <f t="shared" si="97"/>
        <v>0</v>
      </c>
    </row>
    <row r="241" spans="1:22" s="80" customFormat="1" ht="47.25" customHeight="1" outlineLevel="1" x14ac:dyDescent="0.25">
      <c r="A241" s="78" t="s">
        <v>41</v>
      </c>
      <c r="B241" s="79" t="s">
        <v>49</v>
      </c>
      <c r="C241" s="79" t="s">
        <v>63</v>
      </c>
      <c r="D241" s="79" t="s">
        <v>20</v>
      </c>
      <c r="E241" s="79" t="s">
        <v>399</v>
      </c>
      <c r="F241" s="79" t="s">
        <v>9</v>
      </c>
      <c r="G241" s="316">
        <f t="shared" ref="G241:T241" si="107">G242+G246</f>
        <v>0</v>
      </c>
      <c r="H241" s="316">
        <f>H242+H246</f>
        <v>0</v>
      </c>
      <c r="I241" s="338">
        <f t="shared" si="107"/>
        <v>0</v>
      </c>
      <c r="J241" s="338">
        <f>J242+J246</f>
        <v>0</v>
      </c>
      <c r="K241" s="408">
        <f t="shared" si="107"/>
        <v>0</v>
      </c>
      <c r="L241" s="408">
        <f t="shared" si="107"/>
        <v>0</v>
      </c>
      <c r="M241" s="322">
        <f t="shared" si="107"/>
        <v>0</v>
      </c>
      <c r="N241" s="322">
        <f t="shared" si="107"/>
        <v>0</v>
      </c>
      <c r="O241" s="312">
        <f t="shared" si="107"/>
        <v>0</v>
      </c>
      <c r="P241" s="312">
        <f t="shared" si="107"/>
        <v>0</v>
      </c>
      <c r="Q241" s="322">
        <f t="shared" si="107"/>
        <v>0</v>
      </c>
      <c r="R241" s="322">
        <f t="shared" si="107"/>
        <v>0</v>
      </c>
      <c r="S241" s="312">
        <f t="shared" si="107"/>
        <v>0</v>
      </c>
      <c r="T241" s="312">
        <f t="shared" si="107"/>
        <v>0</v>
      </c>
      <c r="U241" s="132">
        <f t="shared" si="96"/>
        <v>0</v>
      </c>
      <c r="V241" s="132">
        <f t="shared" si="97"/>
        <v>0</v>
      </c>
    </row>
    <row r="242" spans="1:22" s="80" customFormat="1" ht="31.5" customHeight="1" outlineLevel="1" x14ac:dyDescent="0.25">
      <c r="A242" s="78" t="s">
        <v>464</v>
      </c>
      <c r="B242" s="79" t="s">
        <v>49</v>
      </c>
      <c r="C242" s="79" t="s">
        <v>63</v>
      </c>
      <c r="D242" s="79" t="s">
        <v>20</v>
      </c>
      <c r="E242" s="79" t="s">
        <v>463</v>
      </c>
      <c r="F242" s="79" t="s">
        <v>9</v>
      </c>
      <c r="G242" s="316">
        <f t="shared" ref="G242:T242" si="108">G243</f>
        <v>0</v>
      </c>
      <c r="H242" s="316">
        <f t="shared" si="108"/>
        <v>0</v>
      </c>
      <c r="I242" s="338">
        <f t="shared" si="108"/>
        <v>0</v>
      </c>
      <c r="J242" s="338">
        <f t="shared" si="108"/>
        <v>0</v>
      </c>
      <c r="K242" s="408">
        <f t="shared" si="108"/>
        <v>0</v>
      </c>
      <c r="L242" s="408">
        <f t="shared" si="108"/>
        <v>0</v>
      </c>
      <c r="M242" s="322">
        <f t="shared" si="108"/>
        <v>0</v>
      </c>
      <c r="N242" s="322">
        <f t="shared" si="108"/>
        <v>0</v>
      </c>
      <c r="O242" s="312">
        <f t="shared" si="108"/>
        <v>0</v>
      </c>
      <c r="P242" s="312">
        <f t="shared" si="108"/>
        <v>0</v>
      </c>
      <c r="Q242" s="322">
        <f t="shared" si="108"/>
        <v>0</v>
      </c>
      <c r="R242" s="322">
        <f t="shared" si="108"/>
        <v>0</v>
      </c>
      <c r="S242" s="312">
        <f t="shared" si="108"/>
        <v>0</v>
      </c>
      <c r="T242" s="312">
        <f t="shared" si="108"/>
        <v>0</v>
      </c>
      <c r="U242" s="132">
        <f t="shared" si="96"/>
        <v>0</v>
      </c>
      <c r="V242" s="132">
        <f t="shared" si="97"/>
        <v>0</v>
      </c>
    </row>
    <row r="243" spans="1:22" s="77" customFormat="1" ht="39" customHeight="1" outlineLevel="1" x14ac:dyDescent="0.25">
      <c r="A243" s="74" t="s">
        <v>123</v>
      </c>
      <c r="B243" s="75" t="s">
        <v>49</v>
      </c>
      <c r="C243" s="75" t="s">
        <v>63</v>
      </c>
      <c r="D243" s="75" t="s">
        <v>20</v>
      </c>
      <c r="E243" s="75" t="s">
        <v>463</v>
      </c>
      <c r="F243" s="75" t="s">
        <v>119</v>
      </c>
      <c r="G243" s="311"/>
      <c r="H243" s="311"/>
      <c r="I243" s="320"/>
      <c r="J243" s="320"/>
      <c r="K243" s="409"/>
      <c r="L243" s="409"/>
      <c r="M243" s="323"/>
      <c r="N243" s="323"/>
      <c r="O243" s="313"/>
      <c r="P243" s="313"/>
      <c r="Q243" s="323"/>
      <c r="R243" s="323"/>
      <c r="S243" s="313"/>
      <c r="T243" s="313"/>
      <c r="U243" s="131">
        <f t="shared" si="96"/>
        <v>0</v>
      </c>
      <c r="V243" s="131">
        <f t="shared" si="97"/>
        <v>0</v>
      </c>
    </row>
    <row r="244" spans="1:22" s="77" customFormat="1" ht="39" customHeight="1" outlineLevel="1" x14ac:dyDescent="0.25">
      <c r="A244" s="78" t="s">
        <v>954</v>
      </c>
      <c r="B244" s="79" t="s">
        <v>49</v>
      </c>
      <c r="C244" s="79" t="s">
        <v>63</v>
      </c>
      <c r="D244" s="79" t="s">
        <v>20</v>
      </c>
      <c r="E244" s="79" t="s">
        <v>955</v>
      </c>
      <c r="F244" s="79" t="s">
        <v>9</v>
      </c>
      <c r="G244" s="314"/>
      <c r="H244" s="314"/>
      <c r="I244" s="339"/>
      <c r="J244" s="339"/>
      <c r="K244" s="409"/>
      <c r="L244" s="409"/>
      <c r="M244" s="323"/>
      <c r="N244" s="323"/>
      <c r="O244" s="313"/>
      <c r="P244" s="313"/>
      <c r="Q244" s="323"/>
      <c r="R244" s="323"/>
      <c r="S244" s="313"/>
      <c r="T244" s="313"/>
      <c r="U244" s="132">
        <f t="shared" si="96"/>
        <v>0</v>
      </c>
      <c r="V244" s="132">
        <f t="shared" si="97"/>
        <v>0</v>
      </c>
    </row>
    <row r="245" spans="1:22" s="77" customFormat="1" ht="39" customHeight="1" outlineLevel="1" x14ac:dyDescent="0.25">
      <c r="A245" s="74" t="s">
        <v>123</v>
      </c>
      <c r="B245" s="75" t="s">
        <v>49</v>
      </c>
      <c r="C245" s="75" t="s">
        <v>63</v>
      </c>
      <c r="D245" s="75" t="s">
        <v>20</v>
      </c>
      <c r="E245" s="75" t="s">
        <v>955</v>
      </c>
      <c r="F245" s="75" t="s">
        <v>119</v>
      </c>
      <c r="G245" s="311"/>
      <c r="H245" s="311"/>
      <c r="I245" s="320"/>
      <c r="J245" s="320"/>
      <c r="K245" s="409"/>
      <c r="L245" s="407"/>
      <c r="M245" s="323"/>
      <c r="N245" s="323"/>
      <c r="O245" s="313"/>
      <c r="P245" s="313"/>
      <c r="Q245" s="323"/>
      <c r="R245" s="323"/>
      <c r="S245" s="313"/>
      <c r="T245" s="313"/>
      <c r="U245" s="131">
        <f t="shared" si="96"/>
        <v>0</v>
      </c>
      <c r="V245" s="131">
        <f t="shared" si="97"/>
        <v>0</v>
      </c>
    </row>
    <row r="246" spans="1:22" s="80" customFormat="1" ht="47.25" customHeight="1" outlineLevel="1" x14ac:dyDescent="0.25">
      <c r="A246" s="78" t="s">
        <v>848</v>
      </c>
      <c r="B246" s="79" t="s">
        <v>49</v>
      </c>
      <c r="C246" s="79" t="s">
        <v>63</v>
      </c>
      <c r="D246" s="79" t="s">
        <v>20</v>
      </c>
      <c r="E246" s="79" t="s">
        <v>806</v>
      </c>
      <c r="F246" s="79" t="s">
        <v>9</v>
      </c>
      <c r="G246" s="316">
        <f t="shared" ref="G246:T246" si="109">G247</f>
        <v>0</v>
      </c>
      <c r="H246" s="316">
        <f t="shared" si="109"/>
        <v>0</v>
      </c>
      <c r="I246" s="338">
        <f t="shared" si="109"/>
        <v>0</v>
      </c>
      <c r="J246" s="338">
        <f t="shared" si="109"/>
        <v>0</v>
      </c>
      <c r="K246" s="408">
        <f t="shared" si="109"/>
        <v>0</v>
      </c>
      <c r="L246" s="408">
        <f t="shared" si="109"/>
        <v>0</v>
      </c>
      <c r="M246" s="322">
        <f t="shared" si="109"/>
        <v>0</v>
      </c>
      <c r="N246" s="322">
        <f t="shared" si="109"/>
        <v>0</v>
      </c>
      <c r="O246" s="312">
        <f t="shared" si="109"/>
        <v>0</v>
      </c>
      <c r="P246" s="312">
        <f t="shared" si="109"/>
        <v>0</v>
      </c>
      <c r="Q246" s="322">
        <f t="shared" si="109"/>
        <v>0</v>
      </c>
      <c r="R246" s="322">
        <f t="shared" si="109"/>
        <v>0</v>
      </c>
      <c r="S246" s="312">
        <f t="shared" si="109"/>
        <v>0</v>
      </c>
      <c r="T246" s="312">
        <f t="shared" si="109"/>
        <v>0</v>
      </c>
      <c r="U246" s="132">
        <f t="shared" si="96"/>
        <v>0</v>
      </c>
      <c r="V246" s="132">
        <f t="shared" si="97"/>
        <v>0</v>
      </c>
    </row>
    <row r="247" spans="1:22" s="77" customFormat="1" ht="15.75" customHeight="1" outlineLevel="1" x14ac:dyDescent="0.25">
      <c r="A247" s="74" t="s">
        <v>123</v>
      </c>
      <c r="B247" s="75" t="s">
        <v>49</v>
      </c>
      <c r="C247" s="75" t="s">
        <v>63</v>
      </c>
      <c r="D247" s="75" t="s">
        <v>20</v>
      </c>
      <c r="E247" s="75" t="s">
        <v>806</v>
      </c>
      <c r="F247" s="75" t="s">
        <v>119</v>
      </c>
      <c r="G247" s="311"/>
      <c r="H247" s="311"/>
      <c r="I247" s="320"/>
      <c r="J247" s="320"/>
      <c r="K247" s="409"/>
      <c r="L247" s="409"/>
      <c r="M247" s="323"/>
      <c r="N247" s="323"/>
      <c r="O247" s="313"/>
      <c r="P247" s="313"/>
      <c r="Q247" s="323"/>
      <c r="R247" s="323"/>
      <c r="S247" s="313"/>
      <c r="T247" s="313"/>
      <c r="U247" s="131">
        <f t="shared" si="96"/>
        <v>0</v>
      </c>
      <c r="V247" s="131">
        <f t="shared" si="97"/>
        <v>0</v>
      </c>
    </row>
    <row r="248" spans="1:22" s="80" customFormat="1" ht="47.25" customHeight="1" outlineLevel="1" x14ac:dyDescent="0.25">
      <c r="A248" s="78" t="s">
        <v>956</v>
      </c>
      <c r="B248" s="79" t="s">
        <v>49</v>
      </c>
      <c r="C248" s="79" t="s">
        <v>63</v>
      </c>
      <c r="D248" s="79" t="s">
        <v>20</v>
      </c>
      <c r="E248" s="79" t="s">
        <v>957</v>
      </c>
      <c r="F248" s="79" t="s">
        <v>9</v>
      </c>
      <c r="G248" s="316">
        <f t="shared" ref="G248:T248" si="110">G249</f>
        <v>0</v>
      </c>
      <c r="H248" s="316">
        <f t="shared" si="110"/>
        <v>0</v>
      </c>
      <c r="I248" s="338">
        <f t="shared" si="110"/>
        <v>0</v>
      </c>
      <c r="J248" s="338">
        <f t="shared" si="110"/>
        <v>0</v>
      </c>
      <c r="K248" s="408">
        <f t="shared" si="110"/>
        <v>0</v>
      </c>
      <c r="L248" s="408">
        <f t="shared" si="110"/>
        <v>0</v>
      </c>
      <c r="M248" s="322">
        <f t="shared" si="110"/>
        <v>0</v>
      </c>
      <c r="N248" s="322">
        <f t="shared" si="110"/>
        <v>0</v>
      </c>
      <c r="O248" s="312">
        <f t="shared" si="110"/>
        <v>0</v>
      </c>
      <c r="P248" s="312">
        <f t="shared" si="110"/>
        <v>0</v>
      </c>
      <c r="Q248" s="322">
        <f t="shared" si="110"/>
        <v>0</v>
      </c>
      <c r="R248" s="322">
        <f t="shared" si="110"/>
        <v>0</v>
      </c>
      <c r="S248" s="312">
        <f t="shared" si="110"/>
        <v>0</v>
      </c>
      <c r="T248" s="312">
        <f t="shared" si="110"/>
        <v>0</v>
      </c>
      <c r="U248" s="132">
        <f t="shared" si="96"/>
        <v>0</v>
      </c>
      <c r="V248" s="132">
        <f t="shared" si="97"/>
        <v>0</v>
      </c>
    </row>
    <row r="249" spans="1:22" s="77" customFormat="1" ht="15.75" customHeight="1" outlineLevel="1" x14ac:dyDescent="0.25">
      <c r="A249" s="74" t="s">
        <v>123</v>
      </c>
      <c r="B249" s="75" t="s">
        <v>49</v>
      </c>
      <c r="C249" s="75" t="s">
        <v>63</v>
      </c>
      <c r="D249" s="75" t="s">
        <v>20</v>
      </c>
      <c r="E249" s="75" t="s">
        <v>957</v>
      </c>
      <c r="F249" s="75" t="s">
        <v>119</v>
      </c>
      <c r="G249" s="311"/>
      <c r="H249" s="311"/>
      <c r="I249" s="320"/>
      <c r="J249" s="320"/>
      <c r="K249" s="409"/>
      <c r="L249" s="409"/>
      <c r="M249" s="323"/>
      <c r="N249" s="323"/>
      <c r="O249" s="313"/>
      <c r="P249" s="313"/>
      <c r="Q249" s="323"/>
      <c r="R249" s="323"/>
      <c r="S249" s="313"/>
      <c r="T249" s="313"/>
      <c r="U249" s="131">
        <f t="shared" si="96"/>
        <v>0</v>
      </c>
      <c r="V249" s="131">
        <f t="shared" si="97"/>
        <v>0</v>
      </c>
    </row>
    <row r="250" spans="1:22" s="80" customFormat="1" ht="47.25" x14ac:dyDescent="0.25">
      <c r="A250" s="78" t="s">
        <v>208</v>
      </c>
      <c r="B250" s="79" t="s">
        <v>49</v>
      </c>
      <c r="C250" s="79" t="s">
        <v>63</v>
      </c>
      <c r="D250" s="79" t="s">
        <v>20</v>
      </c>
      <c r="E250" s="79" t="s">
        <v>402</v>
      </c>
      <c r="F250" s="79" t="s">
        <v>9</v>
      </c>
      <c r="G250" s="316">
        <f t="shared" ref="G250:T250" si="111">G253+G251</f>
        <v>0</v>
      </c>
      <c r="H250" s="316">
        <f>H253+H251</f>
        <v>39618.1</v>
      </c>
      <c r="I250" s="338">
        <f t="shared" si="111"/>
        <v>0</v>
      </c>
      <c r="J250" s="338">
        <f>J253+J251</f>
        <v>38924.6</v>
      </c>
      <c r="K250" s="408">
        <f t="shared" si="111"/>
        <v>0</v>
      </c>
      <c r="L250" s="408">
        <f t="shared" si="111"/>
        <v>0</v>
      </c>
      <c r="M250" s="322">
        <f t="shared" si="111"/>
        <v>0</v>
      </c>
      <c r="N250" s="322">
        <f t="shared" si="111"/>
        <v>0</v>
      </c>
      <c r="O250" s="312">
        <f t="shared" si="111"/>
        <v>0</v>
      </c>
      <c r="P250" s="312">
        <f t="shared" si="111"/>
        <v>0</v>
      </c>
      <c r="Q250" s="322">
        <f t="shared" si="111"/>
        <v>0</v>
      </c>
      <c r="R250" s="322">
        <f t="shared" si="111"/>
        <v>0</v>
      </c>
      <c r="S250" s="312">
        <f t="shared" si="111"/>
        <v>0</v>
      </c>
      <c r="T250" s="312">
        <f t="shared" si="111"/>
        <v>0</v>
      </c>
      <c r="U250" s="132">
        <f t="shared" si="96"/>
        <v>39618.1</v>
      </c>
      <c r="V250" s="132">
        <f t="shared" si="97"/>
        <v>38924.6</v>
      </c>
    </row>
    <row r="251" spans="1:22" s="80" customFormat="1" ht="15.75" customHeight="1" outlineLevel="1" x14ac:dyDescent="0.25">
      <c r="A251" s="78" t="s">
        <v>821</v>
      </c>
      <c r="B251" s="79" t="s">
        <v>49</v>
      </c>
      <c r="C251" s="79" t="s">
        <v>63</v>
      </c>
      <c r="D251" s="79" t="s">
        <v>20</v>
      </c>
      <c r="E251" s="79" t="s">
        <v>520</v>
      </c>
      <c r="F251" s="79" t="s">
        <v>9</v>
      </c>
      <c r="G251" s="316">
        <f t="shared" ref="G251:T251" si="112">G252</f>
        <v>0</v>
      </c>
      <c r="H251" s="316">
        <f t="shared" si="112"/>
        <v>0</v>
      </c>
      <c r="I251" s="338">
        <f t="shared" si="112"/>
        <v>0</v>
      </c>
      <c r="J251" s="338">
        <f t="shared" si="112"/>
        <v>0</v>
      </c>
      <c r="K251" s="408">
        <f t="shared" si="112"/>
        <v>0</v>
      </c>
      <c r="L251" s="408">
        <f t="shared" si="112"/>
        <v>0</v>
      </c>
      <c r="M251" s="322">
        <f t="shared" si="112"/>
        <v>0</v>
      </c>
      <c r="N251" s="322">
        <f t="shared" si="112"/>
        <v>0</v>
      </c>
      <c r="O251" s="312">
        <f t="shared" si="112"/>
        <v>0</v>
      </c>
      <c r="P251" s="312">
        <f t="shared" si="112"/>
        <v>0</v>
      </c>
      <c r="Q251" s="322">
        <f t="shared" si="112"/>
        <v>0</v>
      </c>
      <c r="R251" s="322">
        <f t="shared" si="112"/>
        <v>0</v>
      </c>
      <c r="S251" s="312">
        <f t="shared" si="112"/>
        <v>0</v>
      </c>
      <c r="T251" s="312">
        <f t="shared" si="112"/>
        <v>0</v>
      </c>
      <c r="U251" s="132">
        <f t="shared" si="96"/>
        <v>0</v>
      </c>
      <c r="V251" s="132">
        <f t="shared" si="97"/>
        <v>0</v>
      </c>
    </row>
    <row r="252" spans="1:22" s="77" customFormat="1" ht="15.75" customHeight="1" outlineLevel="1" x14ac:dyDescent="0.25">
      <c r="A252" s="264" t="s">
        <v>123</v>
      </c>
      <c r="B252" s="265" t="s">
        <v>49</v>
      </c>
      <c r="C252" s="265" t="s">
        <v>63</v>
      </c>
      <c r="D252" s="265" t="s">
        <v>20</v>
      </c>
      <c r="E252" s="265" t="s">
        <v>520</v>
      </c>
      <c r="F252" s="265" t="s">
        <v>119</v>
      </c>
      <c r="G252" s="311"/>
      <c r="H252" s="311">
        <f>834.6-834.6</f>
        <v>0</v>
      </c>
      <c r="I252" s="320"/>
      <c r="J252" s="320">
        <f>834.6-834.6</f>
        <v>0</v>
      </c>
      <c r="K252" s="409"/>
      <c r="L252" s="407"/>
      <c r="M252" s="323"/>
      <c r="N252" s="323"/>
      <c r="O252" s="313"/>
      <c r="P252" s="313"/>
      <c r="Q252" s="323"/>
      <c r="R252" s="323"/>
      <c r="S252" s="313"/>
      <c r="T252" s="313"/>
      <c r="U252" s="131">
        <f t="shared" si="96"/>
        <v>0</v>
      </c>
      <c r="V252" s="131">
        <f t="shared" si="97"/>
        <v>0</v>
      </c>
    </row>
    <row r="253" spans="1:22" s="80" customFormat="1" x14ac:dyDescent="0.25">
      <c r="A253" s="78" t="s">
        <v>66</v>
      </c>
      <c r="B253" s="79" t="s">
        <v>49</v>
      </c>
      <c r="C253" s="79" t="s">
        <v>63</v>
      </c>
      <c r="D253" s="79" t="s">
        <v>20</v>
      </c>
      <c r="E253" s="79" t="s">
        <v>403</v>
      </c>
      <c r="F253" s="79" t="s">
        <v>9</v>
      </c>
      <c r="G253" s="316">
        <f t="shared" ref="G253:T253" si="113">G254</f>
        <v>0</v>
      </c>
      <c r="H253" s="316">
        <f t="shared" si="113"/>
        <v>39618.1</v>
      </c>
      <c r="I253" s="338">
        <f t="shared" si="113"/>
        <v>0</v>
      </c>
      <c r="J253" s="338">
        <f t="shared" si="113"/>
        <v>38924.6</v>
      </c>
      <c r="K253" s="408">
        <f t="shared" si="113"/>
        <v>0</v>
      </c>
      <c r="L253" s="408">
        <f t="shared" si="113"/>
        <v>0</v>
      </c>
      <c r="M253" s="322">
        <f t="shared" si="113"/>
        <v>0</v>
      </c>
      <c r="N253" s="322">
        <f t="shared" si="113"/>
        <v>0</v>
      </c>
      <c r="O253" s="312">
        <f t="shared" si="113"/>
        <v>0</v>
      </c>
      <c r="P253" s="312">
        <f t="shared" si="113"/>
        <v>0</v>
      </c>
      <c r="Q253" s="322">
        <f t="shared" si="113"/>
        <v>0</v>
      </c>
      <c r="R253" s="322">
        <f t="shared" si="113"/>
        <v>0</v>
      </c>
      <c r="S253" s="312">
        <f t="shared" si="113"/>
        <v>0</v>
      </c>
      <c r="T253" s="312">
        <f t="shared" si="113"/>
        <v>0</v>
      </c>
      <c r="U253" s="132">
        <f t="shared" si="96"/>
        <v>39618.1</v>
      </c>
      <c r="V253" s="132">
        <f t="shared" si="97"/>
        <v>38924.6</v>
      </c>
    </row>
    <row r="254" spans="1:22" s="77" customFormat="1" x14ac:dyDescent="0.25">
      <c r="A254" s="74" t="s">
        <v>123</v>
      </c>
      <c r="B254" s="75" t="s">
        <v>49</v>
      </c>
      <c r="C254" s="75" t="s">
        <v>63</v>
      </c>
      <c r="D254" s="75" t="s">
        <v>20</v>
      </c>
      <c r="E254" s="75" t="s">
        <v>403</v>
      </c>
      <c r="F254" s="75" t="s">
        <v>119</v>
      </c>
      <c r="G254" s="311"/>
      <c r="H254" s="311">
        <f>40524.5-906.4</f>
        <v>39618.1</v>
      </c>
      <c r="I254" s="320"/>
      <c r="J254" s="320">
        <f>40524.5-1599.9</f>
        <v>38924.6</v>
      </c>
      <c r="K254" s="409"/>
      <c r="L254" s="409"/>
      <c r="M254" s="323"/>
      <c r="N254" s="323"/>
      <c r="O254" s="313"/>
      <c r="P254" s="313"/>
      <c r="Q254" s="323"/>
      <c r="R254" s="323"/>
      <c r="S254" s="313"/>
      <c r="T254" s="313"/>
      <c r="U254" s="131">
        <f t="shared" si="96"/>
        <v>39618.1</v>
      </c>
      <c r="V254" s="131">
        <f t="shared" si="97"/>
        <v>38924.6</v>
      </c>
    </row>
    <row r="255" spans="1:22" s="80" customFormat="1" ht="39" customHeight="1" outlineLevel="1" x14ac:dyDescent="0.25">
      <c r="A255" s="78" t="s">
        <v>958</v>
      </c>
      <c r="B255" s="79" t="s">
        <v>49</v>
      </c>
      <c r="C255" s="79" t="s">
        <v>63</v>
      </c>
      <c r="D255" s="79" t="s">
        <v>20</v>
      </c>
      <c r="E255" s="79" t="s">
        <v>959</v>
      </c>
      <c r="F255" s="79" t="s">
        <v>9</v>
      </c>
      <c r="G255" s="316">
        <f t="shared" ref="G255:T255" si="114">G256</f>
        <v>0</v>
      </c>
      <c r="H255" s="316">
        <f t="shared" si="114"/>
        <v>0</v>
      </c>
      <c r="I255" s="338">
        <f t="shared" si="114"/>
        <v>0</v>
      </c>
      <c r="J255" s="338">
        <f t="shared" si="114"/>
        <v>0</v>
      </c>
      <c r="K255" s="408">
        <f t="shared" si="114"/>
        <v>0</v>
      </c>
      <c r="L255" s="408">
        <f t="shared" si="114"/>
        <v>0</v>
      </c>
      <c r="M255" s="322">
        <f t="shared" si="114"/>
        <v>0</v>
      </c>
      <c r="N255" s="322">
        <f t="shared" si="114"/>
        <v>0</v>
      </c>
      <c r="O255" s="312">
        <f t="shared" si="114"/>
        <v>0</v>
      </c>
      <c r="P255" s="312">
        <f t="shared" si="114"/>
        <v>0</v>
      </c>
      <c r="Q255" s="322">
        <f t="shared" si="114"/>
        <v>0</v>
      </c>
      <c r="R255" s="322">
        <f t="shared" si="114"/>
        <v>0</v>
      </c>
      <c r="S255" s="312">
        <f t="shared" si="114"/>
        <v>0</v>
      </c>
      <c r="T255" s="312">
        <f t="shared" si="114"/>
        <v>0</v>
      </c>
      <c r="U255" s="132">
        <f t="shared" si="96"/>
        <v>0</v>
      </c>
      <c r="V255" s="132">
        <f t="shared" si="97"/>
        <v>0</v>
      </c>
    </row>
    <row r="256" spans="1:22" s="80" customFormat="1" ht="39" customHeight="1" outlineLevel="1" x14ac:dyDescent="0.25">
      <c r="A256" s="78" t="s">
        <v>960</v>
      </c>
      <c r="B256" s="79" t="s">
        <v>49</v>
      </c>
      <c r="C256" s="79" t="s">
        <v>63</v>
      </c>
      <c r="D256" s="79" t="s">
        <v>20</v>
      </c>
      <c r="E256" s="79" t="s">
        <v>961</v>
      </c>
      <c r="F256" s="79" t="s">
        <v>9</v>
      </c>
      <c r="G256" s="316">
        <f t="shared" ref="G256:T256" si="115">G257+G259</f>
        <v>0</v>
      </c>
      <c r="H256" s="316">
        <f>H257+H259</f>
        <v>0</v>
      </c>
      <c r="I256" s="338">
        <f t="shared" si="115"/>
        <v>0</v>
      </c>
      <c r="J256" s="338">
        <f>J257+J259</f>
        <v>0</v>
      </c>
      <c r="K256" s="408">
        <f t="shared" si="115"/>
        <v>0</v>
      </c>
      <c r="L256" s="408">
        <f t="shared" si="115"/>
        <v>0</v>
      </c>
      <c r="M256" s="322">
        <f t="shared" si="115"/>
        <v>0</v>
      </c>
      <c r="N256" s="322">
        <f t="shared" si="115"/>
        <v>0</v>
      </c>
      <c r="O256" s="312">
        <f t="shared" si="115"/>
        <v>0</v>
      </c>
      <c r="P256" s="312">
        <f t="shared" si="115"/>
        <v>0</v>
      </c>
      <c r="Q256" s="322">
        <f t="shared" si="115"/>
        <v>0</v>
      </c>
      <c r="R256" s="322">
        <f t="shared" si="115"/>
        <v>0</v>
      </c>
      <c r="S256" s="312">
        <f t="shared" si="115"/>
        <v>0</v>
      </c>
      <c r="T256" s="312">
        <f t="shared" si="115"/>
        <v>0</v>
      </c>
      <c r="U256" s="132">
        <f t="shared" si="96"/>
        <v>0</v>
      </c>
      <c r="V256" s="132">
        <f t="shared" si="97"/>
        <v>0</v>
      </c>
    </row>
    <row r="257" spans="1:22" s="77" customFormat="1" ht="48.75" customHeight="1" outlineLevel="1" x14ac:dyDescent="0.25">
      <c r="A257" s="78" t="s">
        <v>962</v>
      </c>
      <c r="B257" s="79" t="s">
        <v>49</v>
      </c>
      <c r="C257" s="79" t="s">
        <v>63</v>
      </c>
      <c r="D257" s="79" t="s">
        <v>20</v>
      </c>
      <c r="E257" s="79" t="s">
        <v>963</v>
      </c>
      <c r="F257" s="79" t="s">
        <v>9</v>
      </c>
      <c r="G257" s="316">
        <f t="shared" ref="G257:T257" si="116">G258</f>
        <v>0</v>
      </c>
      <c r="H257" s="316">
        <f t="shared" si="116"/>
        <v>0</v>
      </c>
      <c r="I257" s="338">
        <f t="shared" si="116"/>
        <v>0</v>
      </c>
      <c r="J257" s="338">
        <f t="shared" si="116"/>
        <v>0</v>
      </c>
      <c r="K257" s="408">
        <f t="shared" si="116"/>
        <v>0</v>
      </c>
      <c r="L257" s="408">
        <f t="shared" si="116"/>
        <v>0</v>
      </c>
      <c r="M257" s="322">
        <f t="shared" si="116"/>
        <v>0</v>
      </c>
      <c r="N257" s="322">
        <f t="shared" si="116"/>
        <v>0</v>
      </c>
      <c r="O257" s="312">
        <f t="shared" si="116"/>
        <v>0</v>
      </c>
      <c r="P257" s="312">
        <f t="shared" si="116"/>
        <v>0</v>
      </c>
      <c r="Q257" s="322">
        <f t="shared" si="116"/>
        <v>0</v>
      </c>
      <c r="R257" s="322">
        <f t="shared" si="116"/>
        <v>0</v>
      </c>
      <c r="S257" s="312">
        <f t="shared" si="116"/>
        <v>0</v>
      </c>
      <c r="T257" s="312">
        <f t="shared" si="116"/>
        <v>0</v>
      </c>
      <c r="U257" s="132">
        <f t="shared" si="96"/>
        <v>0</v>
      </c>
      <c r="V257" s="132">
        <f t="shared" si="97"/>
        <v>0</v>
      </c>
    </row>
    <row r="258" spans="1:22" s="77" customFormat="1" ht="39" customHeight="1" outlineLevel="1" x14ac:dyDescent="0.25">
      <c r="A258" s="74" t="s">
        <v>123</v>
      </c>
      <c r="B258" s="75" t="s">
        <v>49</v>
      </c>
      <c r="C258" s="75" t="s">
        <v>63</v>
      </c>
      <c r="D258" s="75" t="s">
        <v>20</v>
      </c>
      <c r="E258" s="75" t="s">
        <v>963</v>
      </c>
      <c r="F258" s="75" t="s">
        <v>119</v>
      </c>
      <c r="G258" s="311"/>
      <c r="H258" s="311"/>
      <c r="I258" s="320"/>
      <c r="J258" s="320"/>
      <c r="K258" s="409"/>
      <c r="L258" s="409"/>
      <c r="M258" s="323"/>
      <c r="N258" s="323"/>
      <c r="O258" s="313"/>
      <c r="P258" s="313"/>
      <c r="Q258" s="323"/>
      <c r="R258" s="323"/>
      <c r="S258" s="313"/>
      <c r="T258" s="313"/>
      <c r="U258" s="131">
        <f t="shared" si="96"/>
        <v>0</v>
      </c>
      <c r="V258" s="131">
        <f t="shared" si="97"/>
        <v>0</v>
      </c>
    </row>
    <row r="259" spans="1:22" s="77" customFormat="1" ht="39" customHeight="1" outlineLevel="1" x14ac:dyDescent="0.25">
      <c r="A259" s="78" t="s">
        <v>964</v>
      </c>
      <c r="B259" s="79" t="s">
        <v>49</v>
      </c>
      <c r="C259" s="79" t="s">
        <v>63</v>
      </c>
      <c r="D259" s="79" t="s">
        <v>20</v>
      </c>
      <c r="E259" s="79" t="s">
        <v>965</v>
      </c>
      <c r="F259" s="79" t="s">
        <v>9</v>
      </c>
      <c r="G259" s="316">
        <f t="shared" ref="G259:T259" si="117">G260</f>
        <v>0</v>
      </c>
      <c r="H259" s="316">
        <f t="shared" si="117"/>
        <v>0</v>
      </c>
      <c r="I259" s="338">
        <f t="shared" si="117"/>
        <v>0</v>
      </c>
      <c r="J259" s="338">
        <f t="shared" si="117"/>
        <v>0</v>
      </c>
      <c r="K259" s="408">
        <f t="shared" si="117"/>
        <v>0</v>
      </c>
      <c r="L259" s="408">
        <f t="shared" si="117"/>
        <v>0</v>
      </c>
      <c r="M259" s="322">
        <f t="shared" si="117"/>
        <v>0</v>
      </c>
      <c r="N259" s="322">
        <f t="shared" si="117"/>
        <v>0</v>
      </c>
      <c r="O259" s="312">
        <f t="shared" si="117"/>
        <v>0</v>
      </c>
      <c r="P259" s="312">
        <f t="shared" si="117"/>
        <v>0</v>
      </c>
      <c r="Q259" s="322">
        <f t="shared" si="117"/>
        <v>0</v>
      </c>
      <c r="R259" s="322">
        <f t="shared" si="117"/>
        <v>0</v>
      </c>
      <c r="S259" s="312">
        <f t="shared" si="117"/>
        <v>0</v>
      </c>
      <c r="T259" s="312">
        <f t="shared" si="117"/>
        <v>0</v>
      </c>
      <c r="U259" s="132">
        <f t="shared" si="96"/>
        <v>0</v>
      </c>
      <c r="V259" s="132">
        <f t="shared" si="97"/>
        <v>0</v>
      </c>
    </row>
    <row r="260" spans="1:22" s="77" customFormat="1" ht="39" customHeight="1" outlineLevel="1" x14ac:dyDescent="0.25">
      <c r="A260" s="74" t="s">
        <v>123</v>
      </c>
      <c r="B260" s="75" t="s">
        <v>49</v>
      </c>
      <c r="C260" s="75" t="s">
        <v>63</v>
      </c>
      <c r="D260" s="75" t="s">
        <v>20</v>
      </c>
      <c r="E260" s="75" t="s">
        <v>965</v>
      </c>
      <c r="F260" s="75" t="s">
        <v>119</v>
      </c>
      <c r="G260" s="311"/>
      <c r="H260" s="311"/>
      <c r="I260" s="320"/>
      <c r="J260" s="320"/>
      <c r="K260" s="409"/>
      <c r="L260" s="409"/>
      <c r="M260" s="323"/>
      <c r="N260" s="323"/>
      <c r="O260" s="313"/>
      <c r="P260" s="313"/>
      <c r="Q260" s="323"/>
      <c r="R260" s="323"/>
      <c r="S260" s="313"/>
      <c r="T260" s="313"/>
      <c r="U260" s="131">
        <f t="shared" si="96"/>
        <v>0</v>
      </c>
      <c r="V260" s="131">
        <f t="shared" si="97"/>
        <v>0</v>
      </c>
    </row>
    <row r="261" spans="1:22" s="80" customFormat="1" ht="31.5" customHeight="1" outlineLevel="1" x14ac:dyDescent="0.25">
      <c r="A261" s="78" t="s">
        <v>784</v>
      </c>
      <c r="B261" s="79" t="s">
        <v>49</v>
      </c>
      <c r="C261" s="79" t="s">
        <v>63</v>
      </c>
      <c r="D261" s="79" t="s">
        <v>20</v>
      </c>
      <c r="E261" s="79" t="s">
        <v>380</v>
      </c>
      <c r="F261" s="197" t="s">
        <v>9</v>
      </c>
      <c r="G261" s="316">
        <f t="shared" ref="G261:T262" si="118">G262</f>
        <v>0</v>
      </c>
      <c r="H261" s="316">
        <f t="shared" si="118"/>
        <v>0</v>
      </c>
      <c r="I261" s="338">
        <f t="shared" si="118"/>
        <v>0</v>
      </c>
      <c r="J261" s="338">
        <f t="shared" si="118"/>
        <v>0</v>
      </c>
      <c r="K261" s="408">
        <f t="shared" si="118"/>
        <v>0</v>
      </c>
      <c r="L261" s="408">
        <f t="shared" si="118"/>
        <v>0</v>
      </c>
      <c r="M261" s="322">
        <f t="shared" si="118"/>
        <v>0</v>
      </c>
      <c r="N261" s="322">
        <f t="shared" si="118"/>
        <v>0</v>
      </c>
      <c r="O261" s="312">
        <f t="shared" si="118"/>
        <v>0</v>
      </c>
      <c r="P261" s="312">
        <f t="shared" si="118"/>
        <v>0</v>
      </c>
      <c r="Q261" s="322">
        <f t="shared" si="118"/>
        <v>0</v>
      </c>
      <c r="R261" s="322">
        <f t="shared" si="118"/>
        <v>0</v>
      </c>
      <c r="S261" s="312">
        <f t="shared" si="118"/>
        <v>0</v>
      </c>
      <c r="T261" s="312">
        <f t="shared" si="118"/>
        <v>0</v>
      </c>
      <c r="U261" s="132">
        <f t="shared" si="96"/>
        <v>0</v>
      </c>
      <c r="V261" s="132">
        <f t="shared" si="97"/>
        <v>0</v>
      </c>
    </row>
    <row r="262" spans="1:22" s="80" customFormat="1" ht="31.5" customHeight="1" outlineLevel="1" x14ac:dyDescent="0.25">
      <c r="A262" s="78" t="s">
        <v>68</v>
      </c>
      <c r="B262" s="79" t="s">
        <v>49</v>
      </c>
      <c r="C262" s="79" t="s">
        <v>63</v>
      </c>
      <c r="D262" s="79" t="s">
        <v>20</v>
      </c>
      <c r="E262" s="79" t="s">
        <v>404</v>
      </c>
      <c r="F262" s="197" t="s">
        <v>9</v>
      </c>
      <c r="G262" s="316">
        <f t="shared" si="118"/>
        <v>0</v>
      </c>
      <c r="H262" s="316">
        <f t="shared" si="118"/>
        <v>0</v>
      </c>
      <c r="I262" s="338">
        <f t="shared" si="118"/>
        <v>0</v>
      </c>
      <c r="J262" s="338">
        <f t="shared" si="118"/>
        <v>0</v>
      </c>
      <c r="K262" s="408">
        <f t="shared" si="118"/>
        <v>0</v>
      </c>
      <c r="L262" s="408">
        <f t="shared" si="118"/>
        <v>0</v>
      </c>
      <c r="M262" s="322">
        <f t="shared" si="118"/>
        <v>0</v>
      </c>
      <c r="N262" s="322">
        <f t="shared" si="118"/>
        <v>0</v>
      </c>
      <c r="O262" s="312">
        <f t="shared" si="118"/>
        <v>0</v>
      </c>
      <c r="P262" s="312">
        <f t="shared" si="118"/>
        <v>0</v>
      </c>
      <c r="Q262" s="322">
        <f t="shared" si="118"/>
        <v>0</v>
      </c>
      <c r="R262" s="322">
        <f t="shared" si="118"/>
        <v>0</v>
      </c>
      <c r="S262" s="312">
        <f t="shared" si="118"/>
        <v>0</v>
      </c>
      <c r="T262" s="312">
        <f t="shared" si="118"/>
        <v>0</v>
      </c>
      <c r="U262" s="132">
        <f t="shared" si="96"/>
        <v>0</v>
      </c>
      <c r="V262" s="132">
        <f t="shared" si="97"/>
        <v>0</v>
      </c>
    </row>
    <row r="263" spans="1:22" s="77" customFormat="1" ht="15.75" customHeight="1" outlineLevel="1" x14ac:dyDescent="0.25">
      <c r="A263" s="74" t="s">
        <v>123</v>
      </c>
      <c r="B263" s="75" t="s">
        <v>49</v>
      </c>
      <c r="C263" s="75" t="s">
        <v>63</v>
      </c>
      <c r="D263" s="75" t="s">
        <v>20</v>
      </c>
      <c r="E263" s="75" t="s">
        <v>404</v>
      </c>
      <c r="F263" s="75" t="s">
        <v>119</v>
      </c>
      <c r="G263" s="311"/>
      <c r="H263" s="311"/>
      <c r="I263" s="320"/>
      <c r="J263" s="320"/>
      <c r="K263" s="409"/>
      <c r="L263" s="409"/>
      <c r="M263" s="323"/>
      <c r="N263" s="323"/>
      <c r="O263" s="313"/>
      <c r="P263" s="313"/>
      <c r="Q263" s="323"/>
      <c r="R263" s="323"/>
      <c r="S263" s="313"/>
      <c r="T263" s="313"/>
      <c r="U263" s="131">
        <f t="shared" si="96"/>
        <v>0</v>
      </c>
      <c r="V263" s="131">
        <f t="shared" si="97"/>
        <v>0</v>
      </c>
    </row>
    <row r="264" spans="1:22" s="77" customFormat="1" ht="31.5" x14ac:dyDescent="0.25">
      <c r="A264" s="74" t="s">
        <v>69</v>
      </c>
      <c r="B264" s="75" t="s">
        <v>70</v>
      </c>
      <c r="C264" s="75" t="s">
        <v>10</v>
      </c>
      <c r="D264" s="75" t="s">
        <v>10</v>
      </c>
      <c r="E264" s="75" t="s">
        <v>365</v>
      </c>
      <c r="F264" s="75" t="s">
        <v>9</v>
      </c>
      <c r="G264" s="311">
        <f t="shared" ref="G264:T264" si="119">G265+G286+G293+G313+G305</f>
        <v>0</v>
      </c>
      <c r="H264" s="311">
        <f>H265+H286+H293+H313+H305</f>
        <v>3989.9</v>
      </c>
      <c r="I264" s="320">
        <f t="shared" si="119"/>
        <v>0</v>
      </c>
      <c r="J264" s="320">
        <f>J265+J286+J293+J313+J305</f>
        <v>3989.9</v>
      </c>
      <c r="K264" s="407">
        <f t="shared" si="119"/>
        <v>0</v>
      </c>
      <c r="L264" s="407">
        <f t="shared" si="119"/>
        <v>0</v>
      </c>
      <c r="M264" s="321">
        <f t="shared" si="119"/>
        <v>0</v>
      </c>
      <c r="N264" s="321">
        <f t="shared" si="119"/>
        <v>0</v>
      </c>
      <c r="O264" s="310">
        <f t="shared" si="119"/>
        <v>0</v>
      </c>
      <c r="P264" s="310">
        <f t="shared" si="119"/>
        <v>0</v>
      </c>
      <c r="Q264" s="321">
        <f t="shared" si="119"/>
        <v>0</v>
      </c>
      <c r="R264" s="321">
        <f t="shared" si="119"/>
        <v>0</v>
      </c>
      <c r="S264" s="310">
        <f t="shared" si="119"/>
        <v>0</v>
      </c>
      <c r="T264" s="310">
        <f t="shared" si="119"/>
        <v>0</v>
      </c>
      <c r="U264" s="131">
        <f t="shared" si="96"/>
        <v>3989.9</v>
      </c>
      <c r="V264" s="131">
        <f t="shared" si="97"/>
        <v>3989.9</v>
      </c>
    </row>
    <row r="265" spans="1:22" s="77" customFormat="1" x14ac:dyDescent="0.25">
      <c r="A265" s="74" t="s">
        <v>23</v>
      </c>
      <c r="B265" s="75" t="s">
        <v>70</v>
      </c>
      <c r="C265" s="75" t="s">
        <v>14</v>
      </c>
      <c r="D265" s="75" t="s">
        <v>10</v>
      </c>
      <c r="E265" s="75" t="s">
        <v>365</v>
      </c>
      <c r="F265" s="75" t="s">
        <v>9</v>
      </c>
      <c r="G265" s="311">
        <f t="shared" ref="G265:T265" si="120">G266+G275</f>
        <v>0</v>
      </c>
      <c r="H265" s="311">
        <f>H266+H275</f>
        <v>3989.9</v>
      </c>
      <c r="I265" s="320">
        <f t="shared" si="120"/>
        <v>0</v>
      </c>
      <c r="J265" s="320">
        <f>J266+J275</f>
        <v>3989.9</v>
      </c>
      <c r="K265" s="407">
        <f t="shared" si="120"/>
        <v>0</v>
      </c>
      <c r="L265" s="407">
        <f t="shared" si="120"/>
        <v>0</v>
      </c>
      <c r="M265" s="321">
        <f t="shared" si="120"/>
        <v>0</v>
      </c>
      <c r="N265" s="321">
        <f t="shared" si="120"/>
        <v>0</v>
      </c>
      <c r="O265" s="310">
        <f t="shared" si="120"/>
        <v>0</v>
      </c>
      <c r="P265" s="310">
        <f t="shared" si="120"/>
        <v>0</v>
      </c>
      <c r="Q265" s="321">
        <f t="shared" si="120"/>
        <v>0</v>
      </c>
      <c r="R265" s="321">
        <f t="shared" si="120"/>
        <v>0</v>
      </c>
      <c r="S265" s="310">
        <f t="shared" si="120"/>
        <v>0</v>
      </c>
      <c r="T265" s="310">
        <f t="shared" si="120"/>
        <v>0</v>
      </c>
      <c r="U265" s="131">
        <f t="shared" si="96"/>
        <v>3989.9</v>
      </c>
      <c r="V265" s="131">
        <f t="shared" si="97"/>
        <v>3989.9</v>
      </c>
    </row>
    <row r="266" spans="1:22" s="80" customFormat="1" ht="47.25" x14ac:dyDescent="0.25">
      <c r="A266" s="78" t="s">
        <v>24</v>
      </c>
      <c r="B266" s="79" t="s">
        <v>70</v>
      </c>
      <c r="C266" s="79" t="s">
        <v>14</v>
      </c>
      <c r="D266" s="79" t="s">
        <v>25</v>
      </c>
      <c r="E266" s="79" t="s">
        <v>365</v>
      </c>
      <c r="F266" s="79" t="s">
        <v>9</v>
      </c>
      <c r="G266" s="316">
        <f t="shared" ref="G266:T266" si="121">G267</f>
        <v>0</v>
      </c>
      <c r="H266" s="316">
        <f t="shared" si="121"/>
        <v>3290.5</v>
      </c>
      <c r="I266" s="338">
        <f t="shared" si="121"/>
        <v>0</v>
      </c>
      <c r="J266" s="338">
        <f t="shared" si="121"/>
        <v>3290.5</v>
      </c>
      <c r="K266" s="408">
        <f t="shared" si="121"/>
        <v>0</v>
      </c>
      <c r="L266" s="408">
        <f t="shared" si="121"/>
        <v>0</v>
      </c>
      <c r="M266" s="322">
        <f t="shared" si="121"/>
        <v>0</v>
      </c>
      <c r="N266" s="322">
        <f t="shared" si="121"/>
        <v>0</v>
      </c>
      <c r="O266" s="312">
        <f t="shared" si="121"/>
        <v>0</v>
      </c>
      <c r="P266" s="312">
        <f t="shared" si="121"/>
        <v>0</v>
      </c>
      <c r="Q266" s="322">
        <f t="shared" si="121"/>
        <v>0</v>
      </c>
      <c r="R266" s="322">
        <f t="shared" si="121"/>
        <v>0</v>
      </c>
      <c r="S266" s="312">
        <f t="shared" si="121"/>
        <v>0</v>
      </c>
      <c r="T266" s="312">
        <f t="shared" si="121"/>
        <v>0</v>
      </c>
      <c r="U266" s="132">
        <f t="shared" si="96"/>
        <v>3290.5</v>
      </c>
      <c r="V266" s="132">
        <f t="shared" si="97"/>
        <v>3290.5</v>
      </c>
    </row>
    <row r="267" spans="1:22" s="80" customFormat="1" ht="31.5" x14ac:dyDescent="0.25">
      <c r="A267" s="78" t="s">
        <v>786</v>
      </c>
      <c r="B267" s="79" t="s">
        <v>70</v>
      </c>
      <c r="C267" s="79" t="s">
        <v>14</v>
      </c>
      <c r="D267" s="79" t="s">
        <v>25</v>
      </c>
      <c r="E267" s="79" t="s">
        <v>405</v>
      </c>
      <c r="F267" s="79" t="s">
        <v>9</v>
      </c>
      <c r="G267" s="316">
        <f t="shared" ref="G267:T267" si="122">G268+G271</f>
        <v>0</v>
      </c>
      <c r="H267" s="316">
        <f>H268+H271</f>
        <v>3290.5</v>
      </c>
      <c r="I267" s="338">
        <f t="shared" si="122"/>
        <v>0</v>
      </c>
      <c r="J267" s="338">
        <f>J268+J271</f>
        <v>3290.5</v>
      </c>
      <c r="K267" s="408">
        <f t="shared" si="122"/>
        <v>0</v>
      </c>
      <c r="L267" s="408">
        <f t="shared" si="122"/>
        <v>0</v>
      </c>
      <c r="M267" s="322">
        <f t="shared" si="122"/>
        <v>0</v>
      </c>
      <c r="N267" s="322">
        <f t="shared" si="122"/>
        <v>0</v>
      </c>
      <c r="O267" s="312">
        <f t="shared" si="122"/>
        <v>0</v>
      </c>
      <c r="P267" s="312">
        <f t="shared" si="122"/>
        <v>0</v>
      </c>
      <c r="Q267" s="322">
        <f t="shared" si="122"/>
        <v>0</v>
      </c>
      <c r="R267" s="322">
        <f t="shared" si="122"/>
        <v>0</v>
      </c>
      <c r="S267" s="312">
        <f t="shared" si="122"/>
        <v>0</v>
      </c>
      <c r="T267" s="312">
        <f t="shared" si="122"/>
        <v>0</v>
      </c>
      <c r="U267" s="132">
        <f t="shared" si="96"/>
        <v>3290.5</v>
      </c>
      <c r="V267" s="132">
        <f t="shared" si="97"/>
        <v>3290.5</v>
      </c>
    </row>
    <row r="268" spans="1:22" s="80" customFormat="1" x14ac:dyDescent="0.25">
      <c r="A268" s="78" t="s">
        <v>127</v>
      </c>
      <c r="B268" s="79" t="s">
        <v>70</v>
      </c>
      <c r="C268" s="79" t="s">
        <v>14</v>
      </c>
      <c r="D268" s="79" t="s">
        <v>25</v>
      </c>
      <c r="E268" s="79" t="s">
        <v>406</v>
      </c>
      <c r="F268" s="79" t="s">
        <v>9</v>
      </c>
      <c r="G268" s="316">
        <f t="shared" ref="G268:T269" si="123">G269</f>
        <v>0</v>
      </c>
      <c r="H268" s="316">
        <f t="shared" si="123"/>
        <v>310</v>
      </c>
      <c r="I268" s="338">
        <f t="shared" si="123"/>
        <v>0</v>
      </c>
      <c r="J268" s="338">
        <f t="shared" si="123"/>
        <v>310</v>
      </c>
      <c r="K268" s="408">
        <f t="shared" si="123"/>
        <v>0</v>
      </c>
      <c r="L268" s="408">
        <f t="shared" si="123"/>
        <v>0</v>
      </c>
      <c r="M268" s="322">
        <f t="shared" si="123"/>
        <v>0</v>
      </c>
      <c r="N268" s="322">
        <f t="shared" si="123"/>
        <v>0</v>
      </c>
      <c r="O268" s="312">
        <f t="shared" si="123"/>
        <v>0</v>
      </c>
      <c r="P268" s="312">
        <f t="shared" si="123"/>
        <v>0</v>
      </c>
      <c r="Q268" s="322">
        <f t="shared" si="123"/>
        <v>0</v>
      </c>
      <c r="R268" s="322">
        <f t="shared" si="123"/>
        <v>0</v>
      </c>
      <c r="S268" s="312">
        <f t="shared" si="123"/>
        <v>0</v>
      </c>
      <c r="T268" s="312">
        <f t="shared" si="123"/>
        <v>0</v>
      </c>
      <c r="U268" s="132">
        <f t="shared" si="96"/>
        <v>310</v>
      </c>
      <c r="V268" s="132">
        <f t="shared" si="97"/>
        <v>310</v>
      </c>
    </row>
    <row r="269" spans="1:22" s="80" customFormat="1" ht="31.5" x14ac:dyDescent="0.25">
      <c r="A269" s="78" t="s">
        <v>16</v>
      </c>
      <c r="B269" s="79" t="s">
        <v>70</v>
      </c>
      <c r="C269" s="79" t="s">
        <v>14</v>
      </c>
      <c r="D269" s="79" t="s">
        <v>25</v>
      </c>
      <c r="E269" s="79" t="s">
        <v>407</v>
      </c>
      <c r="F269" s="79" t="s">
        <v>9</v>
      </c>
      <c r="G269" s="316">
        <f t="shared" si="123"/>
        <v>0</v>
      </c>
      <c r="H269" s="316">
        <f t="shared" si="123"/>
        <v>310</v>
      </c>
      <c r="I269" s="338">
        <f t="shared" si="123"/>
        <v>0</v>
      </c>
      <c r="J269" s="338">
        <f t="shared" si="123"/>
        <v>310</v>
      </c>
      <c r="K269" s="408">
        <f t="shared" si="123"/>
        <v>0</v>
      </c>
      <c r="L269" s="408">
        <f t="shared" si="123"/>
        <v>0</v>
      </c>
      <c r="M269" s="322">
        <f t="shared" si="123"/>
        <v>0</v>
      </c>
      <c r="N269" s="322">
        <f t="shared" si="123"/>
        <v>0</v>
      </c>
      <c r="O269" s="312">
        <f t="shared" si="123"/>
        <v>0</v>
      </c>
      <c r="P269" s="312">
        <f t="shared" si="123"/>
        <v>0</v>
      </c>
      <c r="Q269" s="322">
        <f t="shared" si="123"/>
        <v>0</v>
      </c>
      <c r="R269" s="322">
        <f t="shared" si="123"/>
        <v>0</v>
      </c>
      <c r="S269" s="312">
        <f t="shared" si="123"/>
        <v>0</v>
      </c>
      <c r="T269" s="312">
        <f t="shared" si="123"/>
        <v>0</v>
      </c>
      <c r="U269" s="132">
        <f t="shared" si="96"/>
        <v>310</v>
      </c>
      <c r="V269" s="132">
        <f t="shared" si="97"/>
        <v>310</v>
      </c>
    </row>
    <row r="270" spans="1:22" s="77" customFormat="1" ht="63" x14ac:dyDescent="0.25">
      <c r="A270" s="74" t="s">
        <v>115</v>
      </c>
      <c r="B270" s="75" t="s">
        <v>70</v>
      </c>
      <c r="C270" s="75" t="s">
        <v>14</v>
      </c>
      <c r="D270" s="75" t="s">
        <v>25</v>
      </c>
      <c r="E270" s="75" t="s">
        <v>407</v>
      </c>
      <c r="F270" s="75" t="s">
        <v>113</v>
      </c>
      <c r="G270" s="311"/>
      <c r="H270" s="311">
        <v>310</v>
      </c>
      <c r="I270" s="320"/>
      <c r="J270" s="320">
        <v>310</v>
      </c>
      <c r="K270" s="409"/>
      <c r="L270" s="409"/>
      <c r="M270" s="323"/>
      <c r="N270" s="323"/>
      <c r="O270" s="313"/>
      <c r="P270" s="313"/>
      <c r="Q270" s="323"/>
      <c r="R270" s="323"/>
      <c r="S270" s="313"/>
      <c r="T270" s="313"/>
      <c r="U270" s="131">
        <f t="shared" si="96"/>
        <v>310</v>
      </c>
      <c r="V270" s="131">
        <f t="shared" si="97"/>
        <v>310</v>
      </c>
    </row>
    <row r="271" spans="1:22" s="80" customFormat="1" ht="47.25" x14ac:dyDescent="0.25">
      <c r="A271" s="78" t="s">
        <v>572</v>
      </c>
      <c r="B271" s="79" t="s">
        <v>70</v>
      </c>
      <c r="C271" s="79" t="s">
        <v>14</v>
      </c>
      <c r="D271" s="79" t="s">
        <v>25</v>
      </c>
      <c r="E271" s="79" t="s">
        <v>408</v>
      </c>
      <c r="F271" s="79" t="s">
        <v>9</v>
      </c>
      <c r="G271" s="316">
        <f t="shared" ref="G271:T271" si="124">G272</f>
        <v>0</v>
      </c>
      <c r="H271" s="316">
        <f t="shared" si="124"/>
        <v>2980.5</v>
      </c>
      <c r="I271" s="338">
        <f t="shared" si="124"/>
        <v>0</v>
      </c>
      <c r="J271" s="338">
        <f t="shared" si="124"/>
        <v>2980.5</v>
      </c>
      <c r="K271" s="408">
        <f t="shared" si="124"/>
        <v>0</v>
      </c>
      <c r="L271" s="408">
        <f t="shared" si="124"/>
        <v>0</v>
      </c>
      <c r="M271" s="322">
        <f t="shared" si="124"/>
        <v>0</v>
      </c>
      <c r="N271" s="322">
        <f t="shared" si="124"/>
        <v>0</v>
      </c>
      <c r="O271" s="312">
        <f t="shared" si="124"/>
        <v>0</v>
      </c>
      <c r="P271" s="312">
        <f t="shared" si="124"/>
        <v>0</v>
      </c>
      <c r="Q271" s="322">
        <f t="shared" si="124"/>
        <v>0</v>
      </c>
      <c r="R271" s="322">
        <f t="shared" si="124"/>
        <v>0</v>
      </c>
      <c r="S271" s="312">
        <f t="shared" si="124"/>
        <v>0</v>
      </c>
      <c r="T271" s="312">
        <f t="shared" si="124"/>
        <v>0</v>
      </c>
      <c r="U271" s="132">
        <f t="shared" si="96"/>
        <v>2980.5</v>
      </c>
      <c r="V271" s="132">
        <f t="shared" si="97"/>
        <v>2980.5</v>
      </c>
    </row>
    <row r="272" spans="1:22" s="80" customFormat="1" x14ac:dyDescent="0.25">
      <c r="A272" s="78" t="s">
        <v>26</v>
      </c>
      <c r="B272" s="79" t="s">
        <v>70</v>
      </c>
      <c r="C272" s="79" t="s">
        <v>14</v>
      </c>
      <c r="D272" s="79" t="s">
        <v>25</v>
      </c>
      <c r="E272" s="79" t="s">
        <v>409</v>
      </c>
      <c r="F272" s="79" t="s">
        <v>9</v>
      </c>
      <c r="G272" s="316">
        <f t="shared" ref="G272:T272" si="125">G273+G274</f>
        <v>0</v>
      </c>
      <c r="H272" s="316">
        <f>H273+H274</f>
        <v>2980.5</v>
      </c>
      <c r="I272" s="338">
        <f t="shared" si="125"/>
        <v>0</v>
      </c>
      <c r="J272" s="338">
        <f>J273+J274</f>
        <v>2980.5</v>
      </c>
      <c r="K272" s="408">
        <f t="shared" si="125"/>
        <v>0</v>
      </c>
      <c r="L272" s="408">
        <f t="shared" si="125"/>
        <v>0</v>
      </c>
      <c r="M272" s="322">
        <f t="shared" si="125"/>
        <v>0</v>
      </c>
      <c r="N272" s="322">
        <f t="shared" si="125"/>
        <v>0</v>
      </c>
      <c r="O272" s="312">
        <f t="shared" si="125"/>
        <v>0</v>
      </c>
      <c r="P272" s="312">
        <f t="shared" si="125"/>
        <v>0</v>
      </c>
      <c r="Q272" s="322">
        <f t="shared" si="125"/>
        <v>0</v>
      </c>
      <c r="R272" s="322">
        <f t="shared" si="125"/>
        <v>0</v>
      </c>
      <c r="S272" s="312">
        <f t="shared" si="125"/>
        <v>0</v>
      </c>
      <c r="T272" s="312">
        <f t="shared" si="125"/>
        <v>0</v>
      </c>
      <c r="U272" s="132">
        <f t="shared" si="96"/>
        <v>2980.5</v>
      </c>
      <c r="V272" s="132">
        <f t="shared" si="97"/>
        <v>2980.5</v>
      </c>
    </row>
    <row r="273" spans="1:22" s="77" customFormat="1" ht="63" x14ac:dyDescent="0.25">
      <c r="A273" s="74" t="s">
        <v>115</v>
      </c>
      <c r="B273" s="75" t="s">
        <v>70</v>
      </c>
      <c r="C273" s="75" t="s">
        <v>14</v>
      </c>
      <c r="D273" s="75" t="s">
        <v>25</v>
      </c>
      <c r="E273" s="75" t="s">
        <v>409</v>
      </c>
      <c r="F273" s="75" t="s">
        <v>113</v>
      </c>
      <c r="G273" s="311"/>
      <c r="H273" s="311">
        <v>2980.5</v>
      </c>
      <c r="I273" s="320"/>
      <c r="J273" s="320">
        <v>2980.5</v>
      </c>
      <c r="K273" s="409"/>
      <c r="L273" s="409"/>
      <c r="M273" s="323"/>
      <c r="N273" s="323"/>
      <c r="O273" s="313"/>
      <c r="P273" s="313"/>
      <c r="Q273" s="323"/>
      <c r="R273" s="323"/>
      <c r="S273" s="313"/>
      <c r="T273" s="313"/>
      <c r="U273" s="131">
        <f t="shared" si="96"/>
        <v>2980.5</v>
      </c>
      <c r="V273" s="131">
        <f t="shared" si="97"/>
        <v>2980.5</v>
      </c>
    </row>
    <row r="274" spans="1:22" s="77" customFormat="1" ht="31.5" customHeight="1" outlineLevel="1" x14ac:dyDescent="0.25">
      <c r="A274" s="74" t="s">
        <v>124</v>
      </c>
      <c r="B274" s="75" t="s">
        <v>70</v>
      </c>
      <c r="C274" s="75" t="s">
        <v>14</v>
      </c>
      <c r="D274" s="75" t="s">
        <v>25</v>
      </c>
      <c r="E274" s="75" t="s">
        <v>409</v>
      </c>
      <c r="F274" s="75" t="s">
        <v>117</v>
      </c>
      <c r="G274" s="311"/>
      <c r="H274" s="311"/>
      <c r="I274" s="320"/>
      <c r="J274" s="320"/>
      <c r="K274" s="409"/>
      <c r="L274" s="409"/>
      <c r="M274" s="323"/>
      <c r="N274" s="323"/>
      <c r="O274" s="313"/>
      <c r="P274" s="313"/>
      <c r="Q274" s="323"/>
      <c r="R274" s="323"/>
      <c r="S274" s="313"/>
      <c r="T274" s="313"/>
      <c r="U274" s="131">
        <f t="shared" si="96"/>
        <v>0</v>
      </c>
      <c r="V274" s="131">
        <f t="shared" si="97"/>
        <v>0</v>
      </c>
    </row>
    <row r="275" spans="1:22" s="80" customFormat="1" x14ac:dyDescent="0.25">
      <c r="A275" s="78" t="s">
        <v>27</v>
      </c>
      <c r="B275" s="79" t="s">
        <v>70</v>
      </c>
      <c r="C275" s="79" t="s">
        <v>14</v>
      </c>
      <c r="D275" s="79" t="s">
        <v>28</v>
      </c>
      <c r="E275" s="79" t="s">
        <v>365</v>
      </c>
      <c r="F275" s="79" t="s">
        <v>9</v>
      </c>
      <c r="G275" s="316">
        <f t="shared" ref="G275:T275" si="126">G276</f>
        <v>0</v>
      </c>
      <c r="H275" s="316">
        <f t="shared" si="126"/>
        <v>699.4</v>
      </c>
      <c r="I275" s="338">
        <f t="shared" si="126"/>
        <v>0</v>
      </c>
      <c r="J275" s="338">
        <f t="shared" si="126"/>
        <v>699.4</v>
      </c>
      <c r="K275" s="408">
        <f t="shared" si="126"/>
        <v>0</v>
      </c>
      <c r="L275" s="408">
        <f t="shared" si="126"/>
        <v>0</v>
      </c>
      <c r="M275" s="322">
        <f t="shared" si="126"/>
        <v>0</v>
      </c>
      <c r="N275" s="322">
        <f t="shared" si="126"/>
        <v>0</v>
      </c>
      <c r="O275" s="312">
        <f t="shared" si="126"/>
        <v>0</v>
      </c>
      <c r="P275" s="312">
        <f t="shared" si="126"/>
        <v>0</v>
      </c>
      <c r="Q275" s="322">
        <f t="shared" si="126"/>
        <v>0</v>
      </c>
      <c r="R275" s="322">
        <f t="shared" si="126"/>
        <v>0</v>
      </c>
      <c r="S275" s="312">
        <f t="shared" si="126"/>
        <v>0</v>
      </c>
      <c r="T275" s="312">
        <f t="shared" si="126"/>
        <v>0</v>
      </c>
      <c r="U275" s="132">
        <f t="shared" si="96"/>
        <v>699.4</v>
      </c>
      <c r="V275" s="132">
        <f t="shared" si="97"/>
        <v>699.4</v>
      </c>
    </row>
    <row r="276" spans="1:22" s="80" customFormat="1" ht="31.5" x14ac:dyDescent="0.25">
      <c r="A276" s="78" t="s">
        <v>786</v>
      </c>
      <c r="B276" s="79" t="s">
        <v>70</v>
      </c>
      <c r="C276" s="79" t="s">
        <v>14</v>
      </c>
      <c r="D276" s="79" t="s">
        <v>28</v>
      </c>
      <c r="E276" s="79" t="s">
        <v>405</v>
      </c>
      <c r="F276" s="79" t="s">
        <v>9</v>
      </c>
      <c r="G276" s="316">
        <f t="shared" ref="G276:T276" si="127">G277+G280+G284</f>
        <v>0</v>
      </c>
      <c r="H276" s="316">
        <f>H277+H280+H284</f>
        <v>699.4</v>
      </c>
      <c r="I276" s="338">
        <f t="shared" si="127"/>
        <v>0</v>
      </c>
      <c r="J276" s="338">
        <f>J277+J280+J284</f>
        <v>699.4</v>
      </c>
      <c r="K276" s="408">
        <f t="shared" si="127"/>
        <v>0</v>
      </c>
      <c r="L276" s="408">
        <f t="shared" si="127"/>
        <v>0</v>
      </c>
      <c r="M276" s="322">
        <f t="shared" si="127"/>
        <v>0</v>
      </c>
      <c r="N276" s="322">
        <f t="shared" si="127"/>
        <v>0</v>
      </c>
      <c r="O276" s="312">
        <f t="shared" si="127"/>
        <v>0</v>
      </c>
      <c r="P276" s="312">
        <f t="shared" si="127"/>
        <v>0</v>
      </c>
      <c r="Q276" s="322">
        <f t="shared" si="127"/>
        <v>0</v>
      </c>
      <c r="R276" s="322">
        <f t="shared" si="127"/>
        <v>0</v>
      </c>
      <c r="S276" s="312">
        <f t="shared" si="127"/>
        <v>0</v>
      </c>
      <c r="T276" s="312">
        <f t="shared" si="127"/>
        <v>0</v>
      </c>
      <c r="U276" s="132">
        <f t="shared" si="96"/>
        <v>699.4</v>
      </c>
      <c r="V276" s="132">
        <f t="shared" si="97"/>
        <v>699.4</v>
      </c>
    </row>
    <row r="277" spans="1:22" s="80" customFormat="1" ht="15.75" customHeight="1" outlineLevel="1" x14ac:dyDescent="0.25">
      <c r="A277" s="78" t="s">
        <v>127</v>
      </c>
      <c r="B277" s="79" t="s">
        <v>70</v>
      </c>
      <c r="C277" s="79" t="s">
        <v>14</v>
      </c>
      <c r="D277" s="79" t="s">
        <v>28</v>
      </c>
      <c r="E277" s="79" t="s">
        <v>406</v>
      </c>
      <c r="F277" s="79" t="s">
        <v>9</v>
      </c>
      <c r="G277" s="316">
        <f t="shared" ref="G277:T278" si="128">G278</f>
        <v>0</v>
      </c>
      <c r="H277" s="316">
        <f t="shared" si="128"/>
        <v>0</v>
      </c>
      <c r="I277" s="338">
        <f t="shared" si="128"/>
        <v>0</v>
      </c>
      <c r="J277" s="338">
        <f t="shared" si="128"/>
        <v>0</v>
      </c>
      <c r="K277" s="408">
        <f t="shared" si="128"/>
        <v>0</v>
      </c>
      <c r="L277" s="408">
        <f t="shared" si="128"/>
        <v>0</v>
      </c>
      <c r="M277" s="322">
        <f t="shared" si="128"/>
        <v>0</v>
      </c>
      <c r="N277" s="322">
        <f t="shared" si="128"/>
        <v>0</v>
      </c>
      <c r="O277" s="312">
        <f t="shared" si="128"/>
        <v>0</v>
      </c>
      <c r="P277" s="312">
        <f t="shared" si="128"/>
        <v>0</v>
      </c>
      <c r="Q277" s="322">
        <f t="shared" si="128"/>
        <v>0</v>
      </c>
      <c r="R277" s="322">
        <f t="shared" si="128"/>
        <v>0</v>
      </c>
      <c r="S277" s="312">
        <f t="shared" si="128"/>
        <v>0</v>
      </c>
      <c r="T277" s="312">
        <f t="shared" si="128"/>
        <v>0</v>
      </c>
      <c r="U277" s="132">
        <f t="shared" si="96"/>
        <v>0</v>
      </c>
      <c r="V277" s="132">
        <f t="shared" si="97"/>
        <v>0</v>
      </c>
    </row>
    <row r="278" spans="1:22" s="80" customFormat="1" ht="47.25" customHeight="1" outlineLevel="1" x14ac:dyDescent="0.25">
      <c r="A278" s="78" t="s">
        <v>121</v>
      </c>
      <c r="B278" s="79" t="s">
        <v>70</v>
      </c>
      <c r="C278" s="79" t="s">
        <v>14</v>
      </c>
      <c r="D278" s="79" t="s">
        <v>28</v>
      </c>
      <c r="E278" s="79" t="s">
        <v>410</v>
      </c>
      <c r="F278" s="79" t="s">
        <v>9</v>
      </c>
      <c r="G278" s="316">
        <f t="shared" si="128"/>
        <v>0</v>
      </c>
      <c r="H278" s="316">
        <f t="shared" si="128"/>
        <v>0</v>
      </c>
      <c r="I278" s="338">
        <f t="shared" si="128"/>
        <v>0</v>
      </c>
      <c r="J278" s="338">
        <f t="shared" si="128"/>
        <v>0</v>
      </c>
      <c r="K278" s="408">
        <f t="shared" si="128"/>
        <v>0</v>
      </c>
      <c r="L278" s="408">
        <f t="shared" si="128"/>
        <v>0</v>
      </c>
      <c r="M278" s="322">
        <f t="shared" si="128"/>
        <v>0</v>
      </c>
      <c r="N278" s="322">
        <f t="shared" si="128"/>
        <v>0</v>
      </c>
      <c r="O278" s="312">
        <f t="shared" si="128"/>
        <v>0</v>
      </c>
      <c r="P278" s="312">
        <f t="shared" si="128"/>
        <v>0</v>
      </c>
      <c r="Q278" s="322">
        <f t="shared" si="128"/>
        <v>0</v>
      </c>
      <c r="R278" s="322">
        <f t="shared" si="128"/>
        <v>0</v>
      </c>
      <c r="S278" s="312">
        <f t="shared" si="128"/>
        <v>0</v>
      </c>
      <c r="T278" s="312">
        <f t="shared" si="128"/>
        <v>0</v>
      </c>
      <c r="U278" s="132">
        <f t="shared" si="96"/>
        <v>0</v>
      </c>
      <c r="V278" s="132">
        <f t="shared" si="97"/>
        <v>0</v>
      </c>
    </row>
    <row r="279" spans="1:22" s="77" customFormat="1" ht="31.5" customHeight="1" outlineLevel="1" x14ac:dyDescent="0.25">
      <c r="A279" s="74" t="s">
        <v>124</v>
      </c>
      <c r="B279" s="75" t="s">
        <v>70</v>
      </c>
      <c r="C279" s="75" t="s">
        <v>14</v>
      </c>
      <c r="D279" s="75" t="s">
        <v>28</v>
      </c>
      <c r="E279" s="75" t="s">
        <v>410</v>
      </c>
      <c r="F279" s="75" t="s">
        <v>117</v>
      </c>
      <c r="G279" s="311"/>
      <c r="H279" s="311"/>
      <c r="I279" s="320"/>
      <c r="J279" s="320"/>
      <c r="K279" s="409"/>
      <c r="L279" s="409"/>
      <c r="M279" s="323"/>
      <c r="N279" s="323"/>
      <c r="O279" s="313"/>
      <c r="P279" s="313"/>
      <c r="Q279" s="323"/>
      <c r="R279" s="323"/>
      <c r="S279" s="313"/>
      <c r="T279" s="313"/>
      <c r="U279" s="131">
        <f t="shared" si="96"/>
        <v>0</v>
      </c>
      <c r="V279" s="131">
        <f t="shared" si="97"/>
        <v>0</v>
      </c>
    </row>
    <row r="280" spans="1:22" s="80" customFormat="1" ht="47.25" x14ac:dyDescent="0.25">
      <c r="A280" s="78" t="s">
        <v>572</v>
      </c>
      <c r="B280" s="79" t="s">
        <v>70</v>
      </c>
      <c r="C280" s="79" t="s">
        <v>14</v>
      </c>
      <c r="D280" s="79" t="s">
        <v>28</v>
      </c>
      <c r="E280" s="79" t="s">
        <v>408</v>
      </c>
      <c r="F280" s="79" t="s">
        <v>9</v>
      </c>
      <c r="G280" s="316">
        <f t="shared" ref="G280:T280" si="129">G281</f>
        <v>0</v>
      </c>
      <c r="H280" s="316">
        <f t="shared" si="129"/>
        <v>699.4</v>
      </c>
      <c r="I280" s="338">
        <f t="shared" si="129"/>
        <v>0</v>
      </c>
      <c r="J280" s="338">
        <f t="shared" si="129"/>
        <v>699.4</v>
      </c>
      <c r="K280" s="408">
        <f t="shared" si="129"/>
        <v>0</v>
      </c>
      <c r="L280" s="408">
        <f t="shared" si="129"/>
        <v>0</v>
      </c>
      <c r="M280" s="322">
        <f t="shared" si="129"/>
        <v>0</v>
      </c>
      <c r="N280" s="322">
        <f t="shared" si="129"/>
        <v>0</v>
      </c>
      <c r="O280" s="312">
        <f t="shared" si="129"/>
        <v>0</v>
      </c>
      <c r="P280" s="312">
        <f t="shared" si="129"/>
        <v>0</v>
      </c>
      <c r="Q280" s="322">
        <f t="shared" si="129"/>
        <v>0</v>
      </c>
      <c r="R280" s="322">
        <f t="shared" si="129"/>
        <v>0</v>
      </c>
      <c r="S280" s="312">
        <f t="shared" si="129"/>
        <v>0</v>
      </c>
      <c r="T280" s="312">
        <f t="shared" si="129"/>
        <v>0</v>
      </c>
      <c r="U280" s="132">
        <f t="shared" si="96"/>
        <v>699.4</v>
      </c>
      <c r="V280" s="132">
        <f t="shared" si="97"/>
        <v>699.4</v>
      </c>
    </row>
    <row r="281" spans="1:22" s="80" customFormat="1" ht="31.5" x14ac:dyDescent="0.25">
      <c r="A281" s="78" t="s">
        <v>29</v>
      </c>
      <c r="B281" s="79" t="s">
        <v>70</v>
      </c>
      <c r="C281" s="79" t="s">
        <v>14</v>
      </c>
      <c r="D281" s="79" t="s">
        <v>28</v>
      </c>
      <c r="E281" s="79" t="s">
        <v>411</v>
      </c>
      <c r="F281" s="79" t="s">
        <v>9</v>
      </c>
      <c r="G281" s="316">
        <f t="shared" ref="G281:T281" si="130">G282+G283</f>
        <v>0</v>
      </c>
      <c r="H281" s="316">
        <f>H282+H283</f>
        <v>699.4</v>
      </c>
      <c r="I281" s="338">
        <f t="shared" si="130"/>
        <v>0</v>
      </c>
      <c r="J281" s="338">
        <f>J282+J283</f>
        <v>699.4</v>
      </c>
      <c r="K281" s="408">
        <f t="shared" si="130"/>
        <v>0</v>
      </c>
      <c r="L281" s="408">
        <f t="shared" si="130"/>
        <v>0</v>
      </c>
      <c r="M281" s="322">
        <f t="shared" si="130"/>
        <v>0</v>
      </c>
      <c r="N281" s="322">
        <f t="shared" si="130"/>
        <v>0</v>
      </c>
      <c r="O281" s="312">
        <f t="shared" si="130"/>
        <v>0</v>
      </c>
      <c r="P281" s="312">
        <f t="shared" si="130"/>
        <v>0</v>
      </c>
      <c r="Q281" s="322">
        <f t="shared" si="130"/>
        <v>0</v>
      </c>
      <c r="R281" s="322">
        <f t="shared" si="130"/>
        <v>0</v>
      </c>
      <c r="S281" s="312">
        <f t="shared" si="130"/>
        <v>0</v>
      </c>
      <c r="T281" s="312">
        <f t="shared" si="130"/>
        <v>0</v>
      </c>
      <c r="U281" s="132">
        <f t="shared" si="96"/>
        <v>699.4</v>
      </c>
      <c r="V281" s="132">
        <f t="shared" si="97"/>
        <v>699.4</v>
      </c>
    </row>
    <row r="282" spans="1:22" s="77" customFormat="1" ht="63" x14ac:dyDescent="0.25">
      <c r="A282" s="74" t="s">
        <v>115</v>
      </c>
      <c r="B282" s="75" t="s">
        <v>70</v>
      </c>
      <c r="C282" s="75" t="s">
        <v>14</v>
      </c>
      <c r="D282" s="75" t="s">
        <v>28</v>
      </c>
      <c r="E282" s="75" t="s">
        <v>411</v>
      </c>
      <c r="F282" s="75" t="s">
        <v>113</v>
      </c>
      <c r="G282" s="311"/>
      <c r="H282" s="311">
        <v>673.4</v>
      </c>
      <c r="I282" s="320"/>
      <c r="J282" s="320">
        <v>673.4</v>
      </c>
      <c r="K282" s="409"/>
      <c r="L282" s="409"/>
      <c r="M282" s="323"/>
      <c r="N282" s="323"/>
      <c r="O282" s="313"/>
      <c r="P282" s="313"/>
      <c r="Q282" s="323"/>
      <c r="R282" s="323"/>
      <c r="S282" s="313"/>
      <c r="T282" s="313"/>
      <c r="U282" s="131">
        <f t="shared" si="96"/>
        <v>673.4</v>
      </c>
      <c r="V282" s="131">
        <f t="shared" si="97"/>
        <v>673.4</v>
      </c>
    </row>
    <row r="283" spans="1:22" s="77" customFormat="1" ht="31.5" customHeight="1" outlineLevel="1" x14ac:dyDescent="0.25">
      <c r="A283" s="264" t="s">
        <v>124</v>
      </c>
      <c r="B283" s="75" t="s">
        <v>70</v>
      </c>
      <c r="C283" s="75" t="s">
        <v>14</v>
      </c>
      <c r="D283" s="75" t="s">
        <v>28</v>
      </c>
      <c r="E283" s="75" t="s">
        <v>411</v>
      </c>
      <c r="F283" s="75" t="s">
        <v>117</v>
      </c>
      <c r="G283" s="311"/>
      <c r="H283" s="311">
        <v>26</v>
      </c>
      <c r="I283" s="320"/>
      <c r="J283" s="320">
        <v>26</v>
      </c>
      <c r="K283" s="409"/>
      <c r="L283" s="409"/>
      <c r="M283" s="323"/>
      <c r="N283" s="323"/>
      <c r="O283" s="310"/>
      <c r="P283" s="313"/>
      <c r="Q283" s="323"/>
      <c r="R283" s="323"/>
      <c r="S283" s="313"/>
      <c r="T283" s="313"/>
      <c r="U283" s="131">
        <f t="shared" si="96"/>
        <v>26</v>
      </c>
      <c r="V283" s="131">
        <f t="shared" si="97"/>
        <v>26</v>
      </c>
    </row>
    <row r="284" spans="1:22" s="80" customFormat="1" ht="31.5" customHeight="1" outlineLevel="1" x14ac:dyDescent="0.25">
      <c r="A284" s="78" t="s">
        <v>122</v>
      </c>
      <c r="B284" s="79" t="s">
        <v>70</v>
      </c>
      <c r="C284" s="79" t="s">
        <v>14</v>
      </c>
      <c r="D284" s="79" t="s">
        <v>28</v>
      </c>
      <c r="E284" s="79" t="s">
        <v>412</v>
      </c>
      <c r="F284" s="79" t="s">
        <v>9</v>
      </c>
      <c r="G284" s="316">
        <f t="shared" ref="G284:T284" si="131">G285</f>
        <v>0</v>
      </c>
      <c r="H284" s="316">
        <f t="shared" si="131"/>
        <v>0</v>
      </c>
      <c r="I284" s="338">
        <f t="shared" si="131"/>
        <v>0</v>
      </c>
      <c r="J284" s="338">
        <f t="shared" si="131"/>
        <v>0</v>
      </c>
      <c r="K284" s="408">
        <f t="shared" si="131"/>
        <v>0</v>
      </c>
      <c r="L284" s="408">
        <f t="shared" si="131"/>
        <v>0</v>
      </c>
      <c r="M284" s="322">
        <f t="shared" si="131"/>
        <v>0</v>
      </c>
      <c r="N284" s="322">
        <f t="shared" si="131"/>
        <v>0</v>
      </c>
      <c r="O284" s="312">
        <f t="shared" si="131"/>
        <v>0</v>
      </c>
      <c r="P284" s="312">
        <f t="shared" si="131"/>
        <v>0</v>
      </c>
      <c r="Q284" s="322">
        <f t="shared" si="131"/>
        <v>0</v>
      </c>
      <c r="R284" s="322">
        <f t="shared" si="131"/>
        <v>0</v>
      </c>
      <c r="S284" s="312">
        <f t="shared" si="131"/>
        <v>0</v>
      </c>
      <c r="T284" s="312">
        <f t="shared" si="131"/>
        <v>0</v>
      </c>
      <c r="U284" s="132">
        <f t="shared" si="96"/>
        <v>0</v>
      </c>
      <c r="V284" s="132">
        <f t="shared" si="97"/>
        <v>0</v>
      </c>
    </row>
    <row r="285" spans="1:22" s="77" customFormat="1" ht="31.5" customHeight="1" outlineLevel="1" x14ac:dyDescent="0.25">
      <c r="A285" s="264" t="s">
        <v>124</v>
      </c>
      <c r="B285" s="265" t="s">
        <v>70</v>
      </c>
      <c r="C285" s="265" t="s">
        <v>14</v>
      </c>
      <c r="D285" s="265" t="s">
        <v>28</v>
      </c>
      <c r="E285" s="265" t="s">
        <v>412</v>
      </c>
      <c r="F285" s="265" t="s">
        <v>117</v>
      </c>
      <c r="G285" s="311"/>
      <c r="H285" s="311"/>
      <c r="I285" s="320"/>
      <c r="J285" s="320"/>
      <c r="K285" s="409"/>
      <c r="L285" s="407"/>
      <c r="M285" s="323"/>
      <c r="N285" s="321"/>
      <c r="O285" s="313"/>
      <c r="P285" s="313"/>
      <c r="Q285" s="323"/>
      <c r="R285" s="323"/>
      <c r="S285" s="313"/>
      <c r="T285" s="313"/>
      <c r="U285" s="131">
        <f t="shared" ref="U285:U348" si="132">G285+K285+M285+O285+Q285+S285+H285</f>
        <v>0</v>
      </c>
      <c r="V285" s="131">
        <f t="shared" ref="V285:V348" si="133">I285+L285+N285+P285+R285+T285+J285</f>
        <v>0</v>
      </c>
    </row>
    <row r="286" spans="1:22" s="77" customFormat="1" ht="15.75" customHeight="1" outlineLevel="1" x14ac:dyDescent="0.25">
      <c r="A286" s="74" t="s">
        <v>72</v>
      </c>
      <c r="B286" s="75" t="s">
        <v>70</v>
      </c>
      <c r="C286" s="75" t="s">
        <v>25</v>
      </c>
      <c r="D286" s="75" t="s">
        <v>10</v>
      </c>
      <c r="E286" s="75" t="s">
        <v>365</v>
      </c>
      <c r="F286" s="75" t="s">
        <v>9</v>
      </c>
      <c r="G286" s="311">
        <f t="shared" ref="G286:T287" si="134">G287</f>
        <v>0</v>
      </c>
      <c r="H286" s="311">
        <f t="shared" si="134"/>
        <v>0</v>
      </c>
      <c r="I286" s="320">
        <f t="shared" si="134"/>
        <v>0</v>
      </c>
      <c r="J286" s="320">
        <f t="shared" si="134"/>
        <v>0</v>
      </c>
      <c r="K286" s="407">
        <f t="shared" si="134"/>
        <v>0</v>
      </c>
      <c r="L286" s="407">
        <f t="shared" si="134"/>
        <v>0</v>
      </c>
      <c r="M286" s="321">
        <f t="shared" si="134"/>
        <v>0</v>
      </c>
      <c r="N286" s="321">
        <f t="shared" si="134"/>
        <v>0</v>
      </c>
      <c r="O286" s="310">
        <f t="shared" si="134"/>
        <v>0</v>
      </c>
      <c r="P286" s="310">
        <f t="shared" si="134"/>
        <v>0</v>
      </c>
      <c r="Q286" s="321">
        <f t="shared" si="134"/>
        <v>0</v>
      </c>
      <c r="R286" s="321">
        <f t="shared" si="134"/>
        <v>0</v>
      </c>
      <c r="S286" s="310">
        <f t="shared" si="134"/>
        <v>0</v>
      </c>
      <c r="T286" s="310">
        <f t="shared" si="134"/>
        <v>0</v>
      </c>
      <c r="U286" s="131">
        <f t="shared" si="132"/>
        <v>0</v>
      </c>
      <c r="V286" s="131">
        <f t="shared" si="133"/>
        <v>0</v>
      </c>
    </row>
    <row r="287" spans="1:22" s="80" customFormat="1" ht="15.75" customHeight="1" outlineLevel="1" x14ac:dyDescent="0.25">
      <c r="A287" s="78" t="s">
        <v>73</v>
      </c>
      <c r="B287" s="79" t="s">
        <v>70</v>
      </c>
      <c r="C287" s="79" t="s">
        <v>25</v>
      </c>
      <c r="D287" s="79" t="s">
        <v>74</v>
      </c>
      <c r="E287" s="79" t="s">
        <v>365</v>
      </c>
      <c r="F287" s="79" t="s">
        <v>9</v>
      </c>
      <c r="G287" s="316">
        <f t="shared" si="134"/>
        <v>0</v>
      </c>
      <c r="H287" s="316">
        <f t="shared" si="134"/>
        <v>0</v>
      </c>
      <c r="I287" s="338">
        <f t="shared" si="134"/>
        <v>0</v>
      </c>
      <c r="J287" s="338">
        <f t="shared" si="134"/>
        <v>0</v>
      </c>
      <c r="K287" s="408">
        <f t="shared" si="134"/>
        <v>0</v>
      </c>
      <c r="L287" s="408">
        <f t="shared" si="134"/>
        <v>0</v>
      </c>
      <c r="M287" s="322">
        <f t="shared" si="134"/>
        <v>0</v>
      </c>
      <c r="N287" s="322">
        <f t="shared" si="134"/>
        <v>0</v>
      </c>
      <c r="O287" s="312">
        <f t="shared" si="134"/>
        <v>0</v>
      </c>
      <c r="P287" s="312">
        <f t="shared" si="134"/>
        <v>0</v>
      </c>
      <c r="Q287" s="322">
        <f t="shared" si="134"/>
        <v>0</v>
      </c>
      <c r="R287" s="322">
        <f t="shared" si="134"/>
        <v>0</v>
      </c>
      <c r="S287" s="312">
        <f t="shared" si="134"/>
        <v>0</v>
      </c>
      <c r="T287" s="312">
        <f t="shared" si="134"/>
        <v>0</v>
      </c>
      <c r="U287" s="132">
        <f t="shared" si="132"/>
        <v>0</v>
      </c>
      <c r="V287" s="132">
        <f t="shared" si="133"/>
        <v>0</v>
      </c>
    </row>
    <row r="288" spans="1:22" s="80" customFormat="1" ht="31.5" customHeight="1" outlineLevel="1" x14ac:dyDescent="0.25">
      <c r="A288" s="78" t="s">
        <v>786</v>
      </c>
      <c r="B288" s="79" t="s">
        <v>70</v>
      </c>
      <c r="C288" s="79" t="s">
        <v>25</v>
      </c>
      <c r="D288" s="79" t="s">
        <v>74</v>
      </c>
      <c r="E288" s="79" t="s">
        <v>405</v>
      </c>
      <c r="F288" s="79" t="s">
        <v>9</v>
      </c>
      <c r="G288" s="316">
        <f t="shared" ref="G288:T288" si="135">G289+G291</f>
        <v>0</v>
      </c>
      <c r="H288" s="316">
        <f>H289+H291</f>
        <v>0</v>
      </c>
      <c r="I288" s="338">
        <f t="shared" si="135"/>
        <v>0</v>
      </c>
      <c r="J288" s="338">
        <f>J289+J291</f>
        <v>0</v>
      </c>
      <c r="K288" s="408">
        <f t="shared" si="135"/>
        <v>0</v>
      </c>
      <c r="L288" s="408">
        <f t="shared" si="135"/>
        <v>0</v>
      </c>
      <c r="M288" s="322">
        <f t="shared" si="135"/>
        <v>0</v>
      </c>
      <c r="N288" s="322">
        <f t="shared" si="135"/>
        <v>0</v>
      </c>
      <c r="O288" s="312">
        <f t="shared" si="135"/>
        <v>0</v>
      </c>
      <c r="P288" s="312">
        <f t="shared" si="135"/>
        <v>0</v>
      </c>
      <c r="Q288" s="322">
        <f t="shared" si="135"/>
        <v>0</v>
      </c>
      <c r="R288" s="322">
        <f t="shared" si="135"/>
        <v>0</v>
      </c>
      <c r="S288" s="312">
        <f t="shared" si="135"/>
        <v>0</v>
      </c>
      <c r="T288" s="312">
        <f t="shared" si="135"/>
        <v>0</v>
      </c>
      <c r="U288" s="132">
        <f t="shared" si="132"/>
        <v>0</v>
      </c>
      <c r="V288" s="132">
        <f t="shared" si="133"/>
        <v>0</v>
      </c>
    </row>
    <row r="289" spans="1:22" s="80" customFormat="1" ht="31.5" customHeight="1" outlineLevel="1" x14ac:dyDescent="0.25">
      <c r="A289" s="78" t="s">
        <v>71</v>
      </c>
      <c r="B289" s="79" t="s">
        <v>70</v>
      </c>
      <c r="C289" s="79" t="s">
        <v>25</v>
      </c>
      <c r="D289" s="79" t="s">
        <v>74</v>
      </c>
      <c r="E289" s="79" t="s">
        <v>413</v>
      </c>
      <c r="F289" s="79" t="s">
        <v>9</v>
      </c>
      <c r="G289" s="316">
        <f t="shared" ref="G289:T289" si="136">G290</f>
        <v>0</v>
      </c>
      <c r="H289" s="316">
        <f t="shared" si="136"/>
        <v>0</v>
      </c>
      <c r="I289" s="338">
        <f t="shared" si="136"/>
        <v>0</v>
      </c>
      <c r="J289" s="338">
        <f t="shared" si="136"/>
        <v>0</v>
      </c>
      <c r="K289" s="408">
        <f t="shared" si="136"/>
        <v>0</v>
      </c>
      <c r="L289" s="408">
        <f t="shared" si="136"/>
        <v>0</v>
      </c>
      <c r="M289" s="322">
        <f t="shared" si="136"/>
        <v>0</v>
      </c>
      <c r="N289" s="322">
        <f t="shared" si="136"/>
        <v>0</v>
      </c>
      <c r="O289" s="312">
        <f t="shared" si="136"/>
        <v>0</v>
      </c>
      <c r="P289" s="312">
        <f t="shared" si="136"/>
        <v>0</v>
      </c>
      <c r="Q289" s="322">
        <f t="shared" si="136"/>
        <v>0</v>
      </c>
      <c r="R289" s="322">
        <f t="shared" si="136"/>
        <v>0</v>
      </c>
      <c r="S289" s="312">
        <f t="shared" si="136"/>
        <v>0</v>
      </c>
      <c r="T289" s="312">
        <f t="shared" si="136"/>
        <v>0</v>
      </c>
      <c r="U289" s="132">
        <f t="shared" si="132"/>
        <v>0</v>
      </c>
      <c r="V289" s="132">
        <f t="shared" si="133"/>
        <v>0</v>
      </c>
    </row>
    <row r="290" spans="1:22" s="77" customFormat="1" ht="31.5" customHeight="1" outlineLevel="1" x14ac:dyDescent="0.25">
      <c r="A290" s="74" t="s">
        <v>124</v>
      </c>
      <c r="B290" s="75" t="s">
        <v>70</v>
      </c>
      <c r="C290" s="75" t="s">
        <v>25</v>
      </c>
      <c r="D290" s="75" t="s">
        <v>74</v>
      </c>
      <c r="E290" s="75" t="s">
        <v>413</v>
      </c>
      <c r="F290" s="75" t="s">
        <v>117</v>
      </c>
      <c r="G290" s="311"/>
      <c r="H290" s="311"/>
      <c r="I290" s="320"/>
      <c r="J290" s="320"/>
      <c r="K290" s="409"/>
      <c r="L290" s="407"/>
      <c r="M290" s="323"/>
      <c r="N290" s="321"/>
      <c r="O290" s="313"/>
      <c r="P290" s="313"/>
      <c r="Q290" s="323"/>
      <c r="R290" s="323"/>
      <c r="S290" s="313"/>
      <c r="T290" s="313"/>
      <c r="U290" s="131">
        <f t="shared" si="132"/>
        <v>0</v>
      </c>
      <c r="V290" s="131">
        <f t="shared" si="133"/>
        <v>0</v>
      </c>
    </row>
    <row r="291" spans="1:22" s="77" customFormat="1" ht="15.75" customHeight="1" outlineLevel="1" x14ac:dyDescent="0.25">
      <c r="A291" s="78" t="s">
        <v>859</v>
      </c>
      <c r="B291" s="79" t="s">
        <v>70</v>
      </c>
      <c r="C291" s="79" t="s">
        <v>25</v>
      </c>
      <c r="D291" s="79" t="s">
        <v>74</v>
      </c>
      <c r="E291" s="79" t="s">
        <v>860</v>
      </c>
      <c r="F291" s="79" t="s">
        <v>9</v>
      </c>
      <c r="G291" s="316">
        <f t="shared" ref="G291:T291" si="137">G292</f>
        <v>0</v>
      </c>
      <c r="H291" s="316">
        <f t="shared" si="137"/>
        <v>0</v>
      </c>
      <c r="I291" s="338">
        <f t="shared" si="137"/>
        <v>0</v>
      </c>
      <c r="J291" s="338">
        <f t="shared" si="137"/>
        <v>0</v>
      </c>
      <c r="K291" s="408">
        <f t="shared" si="137"/>
        <v>0</v>
      </c>
      <c r="L291" s="408">
        <f t="shared" si="137"/>
        <v>0</v>
      </c>
      <c r="M291" s="322">
        <f t="shared" si="137"/>
        <v>0</v>
      </c>
      <c r="N291" s="322">
        <f t="shared" si="137"/>
        <v>0</v>
      </c>
      <c r="O291" s="312">
        <f t="shared" si="137"/>
        <v>0</v>
      </c>
      <c r="P291" s="312">
        <f t="shared" si="137"/>
        <v>0</v>
      </c>
      <c r="Q291" s="322">
        <f t="shared" si="137"/>
        <v>0</v>
      </c>
      <c r="R291" s="322">
        <f t="shared" si="137"/>
        <v>0</v>
      </c>
      <c r="S291" s="312">
        <f t="shared" si="137"/>
        <v>0</v>
      </c>
      <c r="T291" s="312">
        <f t="shared" si="137"/>
        <v>0</v>
      </c>
      <c r="U291" s="132">
        <f t="shared" si="132"/>
        <v>0</v>
      </c>
      <c r="V291" s="132">
        <f t="shared" si="133"/>
        <v>0</v>
      </c>
    </row>
    <row r="292" spans="1:22" s="77" customFormat="1" ht="31.5" customHeight="1" outlineLevel="1" x14ac:dyDescent="0.25">
      <c r="A292" s="74" t="s">
        <v>124</v>
      </c>
      <c r="B292" s="75" t="s">
        <v>70</v>
      </c>
      <c r="C292" s="75" t="s">
        <v>25</v>
      </c>
      <c r="D292" s="75" t="s">
        <v>74</v>
      </c>
      <c r="E292" s="75" t="s">
        <v>860</v>
      </c>
      <c r="F292" s="75" t="s">
        <v>117</v>
      </c>
      <c r="G292" s="311"/>
      <c r="H292" s="311"/>
      <c r="I292" s="320"/>
      <c r="J292" s="320"/>
      <c r="K292" s="409"/>
      <c r="L292" s="409"/>
      <c r="M292" s="323"/>
      <c r="N292" s="323"/>
      <c r="O292" s="310"/>
      <c r="P292" s="313"/>
      <c r="Q292" s="323"/>
      <c r="R292" s="323"/>
      <c r="S292" s="313"/>
      <c r="T292" s="313"/>
      <c r="U292" s="131">
        <f t="shared" si="132"/>
        <v>0</v>
      </c>
      <c r="V292" s="131">
        <f t="shared" si="133"/>
        <v>0</v>
      </c>
    </row>
    <row r="293" spans="1:22" s="77" customFormat="1" ht="15.75" customHeight="1" outlineLevel="1" x14ac:dyDescent="0.25">
      <c r="A293" s="74" t="s">
        <v>351</v>
      </c>
      <c r="B293" s="75" t="s">
        <v>70</v>
      </c>
      <c r="C293" s="75" t="s">
        <v>58</v>
      </c>
      <c r="D293" s="75" t="s">
        <v>10</v>
      </c>
      <c r="E293" s="75" t="s">
        <v>365</v>
      </c>
      <c r="F293" s="75" t="s">
        <v>9</v>
      </c>
      <c r="G293" s="311">
        <f t="shared" ref="G293:T293" si="138">G298+G294</f>
        <v>0</v>
      </c>
      <c r="H293" s="311">
        <f>H298+H294</f>
        <v>0</v>
      </c>
      <c r="I293" s="320">
        <f t="shared" si="138"/>
        <v>0</v>
      </c>
      <c r="J293" s="320">
        <f>J298+J294</f>
        <v>0</v>
      </c>
      <c r="K293" s="407">
        <f t="shared" si="138"/>
        <v>0</v>
      </c>
      <c r="L293" s="407">
        <f t="shared" si="138"/>
        <v>0</v>
      </c>
      <c r="M293" s="321">
        <f t="shared" si="138"/>
        <v>0</v>
      </c>
      <c r="N293" s="321">
        <f t="shared" si="138"/>
        <v>0</v>
      </c>
      <c r="O293" s="310">
        <f t="shared" si="138"/>
        <v>0</v>
      </c>
      <c r="P293" s="310">
        <f t="shared" si="138"/>
        <v>0</v>
      </c>
      <c r="Q293" s="321">
        <f t="shared" si="138"/>
        <v>0</v>
      </c>
      <c r="R293" s="321">
        <f t="shared" si="138"/>
        <v>0</v>
      </c>
      <c r="S293" s="310">
        <f t="shared" si="138"/>
        <v>0</v>
      </c>
      <c r="T293" s="310">
        <f t="shared" si="138"/>
        <v>0</v>
      </c>
      <c r="U293" s="131">
        <f t="shared" si="132"/>
        <v>0</v>
      </c>
      <c r="V293" s="131">
        <f t="shared" si="133"/>
        <v>0</v>
      </c>
    </row>
    <row r="294" spans="1:22" s="80" customFormat="1" ht="18.75" customHeight="1" outlineLevel="1" x14ac:dyDescent="0.25">
      <c r="A294" s="126" t="s">
        <v>582</v>
      </c>
      <c r="B294" s="79" t="s">
        <v>70</v>
      </c>
      <c r="C294" s="79" t="s">
        <v>58</v>
      </c>
      <c r="D294" s="79" t="s">
        <v>14</v>
      </c>
      <c r="E294" s="79" t="s">
        <v>365</v>
      </c>
      <c r="F294" s="79" t="s">
        <v>9</v>
      </c>
      <c r="G294" s="316">
        <f t="shared" ref="G294:T296" si="139">G295</f>
        <v>0</v>
      </c>
      <c r="H294" s="316">
        <f t="shared" si="139"/>
        <v>0</v>
      </c>
      <c r="I294" s="338">
        <f t="shared" si="139"/>
        <v>0</v>
      </c>
      <c r="J294" s="338">
        <f t="shared" si="139"/>
        <v>0</v>
      </c>
      <c r="K294" s="408">
        <f t="shared" si="139"/>
        <v>0</v>
      </c>
      <c r="L294" s="408">
        <f t="shared" si="139"/>
        <v>0</v>
      </c>
      <c r="M294" s="322">
        <f t="shared" si="139"/>
        <v>0</v>
      </c>
      <c r="N294" s="322">
        <f t="shared" si="139"/>
        <v>0</v>
      </c>
      <c r="O294" s="312">
        <f t="shared" si="139"/>
        <v>0</v>
      </c>
      <c r="P294" s="312">
        <f t="shared" si="139"/>
        <v>0</v>
      </c>
      <c r="Q294" s="322">
        <f t="shared" si="139"/>
        <v>0</v>
      </c>
      <c r="R294" s="322">
        <f t="shared" si="139"/>
        <v>0</v>
      </c>
      <c r="S294" s="312">
        <f t="shared" si="139"/>
        <v>0</v>
      </c>
      <c r="T294" s="312">
        <f t="shared" si="139"/>
        <v>0</v>
      </c>
      <c r="U294" s="132">
        <f t="shared" si="132"/>
        <v>0</v>
      </c>
      <c r="V294" s="132">
        <f t="shared" si="133"/>
        <v>0</v>
      </c>
    </row>
    <row r="295" spans="1:22" s="77" customFormat="1" ht="31.5" customHeight="1" outlineLevel="1" x14ac:dyDescent="0.25">
      <c r="A295" s="78" t="s">
        <v>865</v>
      </c>
      <c r="B295" s="79" t="s">
        <v>70</v>
      </c>
      <c r="C295" s="79" t="s">
        <v>58</v>
      </c>
      <c r="D295" s="79" t="s">
        <v>14</v>
      </c>
      <c r="E295" s="79" t="s">
        <v>405</v>
      </c>
      <c r="F295" s="79" t="s">
        <v>9</v>
      </c>
      <c r="G295" s="316">
        <f t="shared" si="139"/>
        <v>0</v>
      </c>
      <c r="H295" s="316">
        <f t="shared" si="139"/>
        <v>0</v>
      </c>
      <c r="I295" s="338">
        <f t="shared" si="139"/>
        <v>0</v>
      </c>
      <c r="J295" s="338">
        <f t="shared" si="139"/>
        <v>0</v>
      </c>
      <c r="K295" s="408">
        <f t="shared" si="139"/>
        <v>0</v>
      </c>
      <c r="L295" s="408">
        <f t="shared" si="139"/>
        <v>0</v>
      </c>
      <c r="M295" s="322">
        <f t="shared" si="139"/>
        <v>0</v>
      </c>
      <c r="N295" s="322">
        <f t="shared" si="139"/>
        <v>0</v>
      </c>
      <c r="O295" s="312">
        <f t="shared" si="139"/>
        <v>0</v>
      </c>
      <c r="P295" s="312">
        <f t="shared" si="139"/>
        <v>0</v>
      </c>
      <c r="Q295" s="322">
        <f t="shared" si="139"/>
        <v>0</v>
      </c>
      <c r="R295" s="322">
        <f t="shared" si="139"/>
        <v>0</v>
      </c>
      <c r="S295" s="312">
        <f t="shared" si="139"/>
        <v>0</v>
      </c>
      <c r="T295" s="312">
        <f t="shared" si="139"/>
        <v>0</v>
      </c>
      <c r="U295" s="132">
        <f t="shared" si="132"/>
        <v>0</v>
      </c>
      <c r="V295" s="132">
        <f t="shared" si="133"/>
        <v>0</v>
      </c>
    </row>
    <row r="296" spans="1:22" s="77" customFormat="1" ht="31.5" customHeight="1" outlineLevel="1" x14ac:dyDescent="0.25">
      <c r="A296" s="78" t="s">
        <v>122</v>
      </c>
      <c r="B296" s="79" t="s">
        <v>70</v>
      </c>
      <c r="C296" s="79" t="s">
        <v>58</v>
      </c>
      <c r="D296" s="79" t="s">
        <v>14</v>
      </c>
      <c r="E296" s="79" t="s">
        <v>412</v>
      </c>
      <c r="F296" s="79" t="s">
        <v>9</v>
      </c>
      <c r="G296" s="316">
        <f t="shared" si="139"/>
        <v>0</v>
      </c>
      <c r="H296" s="316">
        <f t="shared" si="139"/>
        <v>0</v>
      </c>
      <c r="I296" s="338">
        <f t="shared" si="139"/>
        <v>0</v>
      </c>
      <c r="J296" s="338">
        <f t="shared" si="139"/>
        <v>0</v>
      </c>
      <c r="K296" s="408">
        <f t="shared" si="139"/>
        <v>0</v>
      </c>
      <c r="L296" s="408">
        <f t="shared" si="139"/>
        <v>0</v>
      </c>
      <c r="M296" s="322">
        <f t="shared" si="139"/>
        <v>0</v>
      </c>
      <c r="N296" s="322">
        <f t="shared" si="139"/>
        <v>0</v>
      </c>
      <c r="O296" s="312">
        <f t="shared" si="139"/>
        <v>0</v>
      </c>
      <c r="P296" s="312">
        <f t="shared" si="139"/>
        <v>0</v>
      </c>
      <c r="Q296" s="322">
        <f t="shared" si="139"/>
        <v>0</v>
      </c>
      <c r="R296" s="322">
        <f t="shared" si="139"/>
        <v>0</v>
      </c>
      <c r="S296" s="312">
        <f t="shared" si="139"/>
        <v>0</v>
      </c>
      <c r="T296" s="312">
        <f t="shared" si="139"/>
        <v>0</v>
      </c>
      <c r="U296" s="132">
        <f t="shared" si="132"/>
        <v>0</v>
      </c>
      <c r="V296" s="132">
        <f t="shared" si="133"/>
        <v>0</v>
      </c>
    </row>
    <row r="297" spans="1:22" s="77" customFormat="1" ht="31.5" customHeight="1" outlineLevel="1" x14ac:dyDescent="0.25">
      <c r="A297" s="74" t="s">
        <v>124</v>
      </c>
      <c r="B297" s="75" t="s">
        <v>70</v>
      </c>
      <c r="C297" s="75" t="s">
        <v>58</v>
      </c>
      <c r="D297" s="75" t="s">
        <v>14</v>
      </c>
      <c r="E297" s="75" t="s">
        <v>412</v>
      </c>
      <c r="F297" s="75" t="s">
        <v>117</v>
      </c>
      <c r="G297" s="311"/>
      <c r="H297" s="311">
        <f>75+60+70.5-205.5</f>
        <v>0</v>
      </c>
      <c r="I297" s="320"/>
      <c r="J297" s="320"/>
      <c r="K297" s="409"/>
      <c r="L297" s="409"/>
      <c r="M297" s="323"/>
      <c r="N297" s="323"/>
      <c r="O297" s="313"/>
      <c r="P297" s="313"/>
      <c r="Q297" s="323"/>
      <c r="R297" s="323"/>
      <c r="S297" s="313"/>
      <c r="T297" s="313"/>
      <c r="U297" s="131">
        <f t="shared" si="132"/>
        <v>0</v>
      </c>
      <c r="V297" s="131">
        <f t="shared" si="133"/>
        <v>0</v>
      </c>
    </row>
    <row r="298" spans="1:22" s="77" customFormat="1" ht="15.75" customHeight="1" outlineLevel="1" x14ac:dyDescent="0.25">
      <c r="A298" s="78" t="s">
        <v>352</v>
      </c>
      <c r="B298" s="79" t="s">
        <v>70</v>
      </c>
      <c r="C298" s="79" t="s">
        <v>58</v>
      </c>
      <c r="D298" s="79" t="s">
        <v>36</v>
      </c>
      <c r="E298" s="79" t="s">
        <v>365</v>
      </c>
      <c r="F298" s="79" t="s">
        <v>9</v>
      </c>
      <c r="G298" s="316">
        <f t="shared" ref="G298:T298" si="140">G299</f>
        <v>0</v>
      </c>
      <c r="H298" s="316">
        <f t="shared" si="140"/>
        <v>0</v>
      </c>
      <c r="I298" s="338">
        <f t="shared" si="140"/>
        <v>0</v>
      </c>
      <c r="J298" s="338">
        <f t="shared" si="140"/>
        <v>0</v>
      </c>
      <c r="K298" s="408">
        <f t="shared" si="140"/>
        <v>0</v>
      </c>
      <c r="L298" s="408">
        <f t="shared" si="140"/>
        <v>0</v>
      </c>
      <c r="M298" s="322">
        <f t="shared" si="140"/>
        <v>0</v>
      </c>
      <c r="N298" s="322">
        <f t="shared" si="140"/>
        <v>0</v>
      </c>
      <c r="O298" s="312">
        <f t="shared" si="140"/>
        <v>0</v>
      </c>
      <c r="P298" s="312">
        <f t="shared" si="140"/>
        <v>0</v>
      </c>
      <c r="Q298" s="322">
        <f t="shared" si="140"/>
        <v>0</v>
      </c>
      <c r="R298" s="322">
        <f t="shared" si="140"/>
        <v>0</v>
      </c>
      <c r="S298" s="312">
        <f t="shared" si="140"/>
        <v>0</v>
      </c>
      <c r="T298" s="312">
        <f t="shared" si="140"/>
        <v>0</v>
      </c>
      <c r="U298" s="132">
        <f t="shared" si="132"/>
        <v>0</v>
      </c>
      <c r="V298" s="132">
        <f t="shared" si="133"/>
        <v>0</v>
      </c>
    </row>
    <row r="299" spans="1:22" s="77" customFormat="1" ht="31.5" customHeight="1" outlineLevel="1" x14ac:dyDescent="0.25">
      <c r="A299" s="78" t="s">
        <v>784</v>
      </c>
      <c r="B299" s="79" t="s">
        <v>70</v>
      </c>
      <c r="C299" s="79" t="s">
        <v>58</v>
      </c>
      <c r="D299" s="79" t="s">
        <v>36</v>
      </c>
      <c r="E299" s="79" t="s">
        <v>380</v>
      </c>
      <c r="F299" s="79" t="s">
        <v>9</v>
      </c>
      <c r="G299" s="316">
        <f t="shared" ref="G299:T299" si="141">G300+G303</f>
        <v>0</v>
      </c>
      <c r="H299" s="316">
        <f>H300+H303</f>
        <v>0</v>
      </c>
      <c r="I299" s="338">
        <f t="shared" si="141"/>
        <v>0</v>
      </c>
      <c r="J299" s="338">
        <f>J300+J303</f>
        <v>0</v>
      </c>
      <c r="K299" s="408">
        <f t="shared" si="141"/>
        <v>0</v>
      </c>
      <c r="L299" s="408">
        <f t="shared" si="141"/>
        <v>0</v>
      </c>
      <c r="M299" s="322">
        <f t="shared" si="141"/>
        <v>0</v>
      </c>
      <c r="N299" s="322">
        <f t="shared" si="141"/>
        <v>0</v>
      </c>
      <c r="O299" s="312">
        <f t="shared" si="141"/>
        <v>0</v>
      </c>
      <c r="P299" s="312">
        <f t="shared" si="141"/>
        <v>0</v>
      </c>
      <c r="Q299" s="322">
        <f t="shared" si="141"/>
        <v>0</v>
      </c>
      <c r="R299" s="322">
        <f t="shared" si="141"/>
        <v>0</v>
      </c>
      <c r="S299" s="312">
        <f t="shared" si="141"/>
        <v>0</v>
      </c>
      <c r="T299" s="312">
        <f t="shared" si="141"/>
        <v>0</v>
      </c>
      <c r="U299" s="132">
        <f t="shared" si="132"/>
        <v>0</v>
      </c>
      <c r="V299" s="132">
        <f t="shared" si="133"/>
        <v>0</v>
      </c>
    </row>
    <row r="300" spans="1:22" s="77" customFormat="1" ht="47.25" customHeight="1" outlineLevel="1" x14ac:dyDescent="0.25">
      <c r="A300" s="78" t="s">
        <v>41</v>
      </c>
      <c r="B300" s="79" t="s">
        <v>70</v>
      </c>
      <c r="C300" s="79" t="s">
        <v>58</v>
      </c>
      <c r="D300" s="79" t="s">
        <v>36</v>
      </c>
      <c r="E300" s="79" t="s">
        <v>414</v>
      </c>
      <c r="F300" s="79" t="s">
        <v>9</v>
      </c>
      <c r="G300" s="316">
        <f t="shared" ref="G300:T301" si="142">G301</f>
        <v>0</v>
      </c>
      <c r="H300" s="316">
        <f t="shared" si="142"/>
        <v>0</v>
      </c>
      <c r="I300" s="338">
        <f t="shared" si="142"/>
        <v>0</v>
      </c>
      <c r="J300" s="338">
        <f t="shared" si="142"/>
        <v>0</v>
      </c>
      <c r="K300" s="408">
        <f t="shared" si="142"/>
        <v>0</v>
      </c>
      <c r="L300" s="408">
        <f t="shared" si="142"/>
        <v>0</v>
      </c>
      <c r="M300" s="322">
        <f t="shared" si="142"/>
        <v>0</v>
      </c>
      <c r="N300" s="322">
        <f t="shared" si="142"/>
        <v>0</v>
      </c>
      <c r="O300" s="312">
        <f t="shared" si="142"/>
        <v>0</v>
      </c>
      <c r="P300" s="312">
        <f t="shared" si="142"/>
        <v>0</v>
      </c>
      <c r="Q300" s="322">
        <f t="shared" si="142"/>
        <v>0</v>
      </c>
      <c r="R300" s="322">
        <f t="shared" si="142"/>
        <v>0</v>
      </c>
      <c r="S300" s="312">
        <f t="shared" si="142"/>
        <v>0</v>
      </c>
      <c r="T300" s="312">
        <f t="shared" si="142"/>
        <v>0</v>
      </c>
      <c r="U300" s="132">
        <f t="shared" si="132"/>
        <v>0</v>
      </c>
      <c r="V300" s="132">
        <f t="shared" si="133"/>
        <v>0</v>
      </c>
    </row>
    <row r="301" spans="1:22" s="77" customFormat="1" ht="15.75" customHeight="1" outlineLevel="1" x14ac:dyDescent="0.25">
      <c r="A301" s="78" t="s">
        <v>353</v>
      </c>
      <c r="B301" s="79" t="s">
        <v>70</v>
      </c>
      <c r="C301" s="79" t="s">
        <v>58</v>
      </c>
      <c r="D301" s="79" t="s">
        <v>36</v>
      </c>
      <c r="E301" s="79" t="s">
        <v>415</v>
      </c>
      <c r="F301" s="79" t="s">
        <v>9</v>
      </c>
      <c r="G301" s="316">
        <f t="shared" si="142"/>
        <v>0</v>
      </c>
      <c r="H301" s="316">
        <f t="shared" si="142"/>
        <v>0</v>
      </c>
      <c r="I301" s="338">
        <f t="shared" si="142"/>
        <v>0</v>
      </c>
      <c r="J301" s="338">
        <f t="shared" si="142"/>
        <v>0</v>
      </c>
      <c r="K301" s="408">
        <f t="shared" si="142"/>
        <v>0</v>
      </c>
      <c r="L301" s="408">
        <f t="shared" si="142"/>
        <v>0</v>
      </c>
      <c r="M301" s="322">
        <f t="shared" si="142"/>
        <v>0</v>
      </c>
      <c r="N301" s="322">
        <f t="shared" si="142"/>
        <v>0</v>
      </c>
      <c r="O301" s="312">
        <f t="shared" si="142"/>
        <v>0</v>
      </c>
      <c r="P301" s="312">
        <f t="shared" si="142"/>
        <v>0</v>
      </c>
      <c r="Q301" s="322">
        <f t="shared" si="142"/>
        <v>0</v>
      </c>
      <c r="R301" s="322">
        <f t="shared" si="142"/>
        <v>0</v>
      </c>
      <c r="S301" s="312">
        <f t="shared" si="142"/>
        <v>0</v>
      </c>
      <c r="T301" s="312">
        <f t="shared" si="142"/>
        <v>0</v>
      </c>
      <c r="U301" s="132">
        <f t="shared" si="132"/>
        <v>0</v>
      </c>
      <c r="V301" s="132">
        <f t="shared" si="133"/>
        <v>0</v>
      </c>
    </row>
    <row r="302" spans="1:22" s="77" customFormat="1" ht="31.5" customHeight="1" outlineLevel="1" x14ac:dyDescent="0.25">
      <c r="A302" s="74" t="s">
        <v>124</v>
      </c>
      <c r="B302" s="75" t="s">
        <v>70</v>
      </c>
      <c r="C302" s="75" t="s">
        <v>58</v>
      </c>
      <c r="D302" s="75" t="s">
        <v>36</v>
      </c>
      <c r="E302" s="75" t="s">
        <v>415</v>
      </c>
      <c r="F302" s="75" t="s">
        <v>117</v>
      </c>
      <c r="G302" s="311"/>
      <c r="H302" s="311"/>
      <c r="I302" s="320"/>
      <c r="J302" s="320"/>
      <c r="K302" s="409"/>
      <c r="L302" s="409"/>
      <c r="M302" s="323"/>
      <c r="N302" s="323"/>
      <c r="O302" s="313"/>
      <c r="P302" s="313"/>
      <c r="Q302" s="323"/>
      <c r="R302" s="323"/>
      <c r="S302" s="313"/>
      <c r="T302" s="313"/>
      <c r="U302" s="131">
        <f t="shared" si="132"/>
        <v>0</v>
      </c>
      <c r="V302" s="131">
        <f t="shared" si="133"/>
        <v>0</v>
      </c>
    </row>
    <row r="303" spans="1:22" s="80" customFormat="1" ht="31.5" customHeight="1" outlineLevel="1" x14ac:dyDescent="0.25">
      <c r="A303" s="78" t="s">
        <v>68</v>
      </c>
      <c r="B303" s="79" t="s">
        <v>70</v>
      </c>
      <c r="C303" s="79" t="s">
        <v>58</v>
      </c>
      <c r="D303" s="79" t="s">
        <v>36</v>
      </c>
      <c r="E303" s="79" t="s">
        <v>404</v>
      </c>
      <c r="F303" s="79" t="s">
        <v>9</v>
      </c>
      <c r="G303" s="316">
        <f t="shared" ref="G303:T303" si="143">G304</f>
        <v>0</v>
      </c>
      <c r="H303" s="316">
        <f t="shared" si="143"/>
        <v>0</v>
      </c>
      <c r="I303" s="338">
        <f t="shared" si="143"/>
        <v>0</v>
      </c>
      <c r="J303" s="338">
        <f t="shared" si="143"/>
        <v>0</v>
      </c>
      <c r="K303" s="408">
        <f t="shared" si="143"/>
        <v>0</v>
      </c>
      <c r="L303" s="408">
        <f t="shared" si="143"/>
        <v>0</v>
      </c>
      <c r="M303" s="322">
        <f t="shared" si="143"/>
        <v>0</v>
      </c>
      <c r="N303" s="322">
        <f t="shared" si="143"/>
        <v>0</v>
      </c>
      <c r="O303" s="312">
        <f t="shared" si="143"/>
        <v>0</v>
      </c>
      <c r="P303" s="312">
        <f t="shared" si="143"/>
        <v>0</v>
      </c>
      <c r="Q303" s="322">
        <f t="shared" si="143"/>
        <v>0</v>
      </c>
      <c r="R303" s="322">
        <f t="shared" si="143"/>
        <v>0</v>
      </c>
      <c r="S303" s="312">
        <f t="shared" si="143"/>
        <v>0</v>
      </c>
      <c r="T303" s="312">
        <f t="shared" si="143"/>
        <v>0</v>
      </c>
      <c r="U303" s="132">
        <f t="shared" si="132"/>
        <v>0</v>
      </c>
      <c r="V303" s="132">
        <f t="shared" si="133"/>
        <v>0</v>
      </c>
    </row>
    <row r="304" spans="1:22" s="77" customFormat="1" ht="31.5" customHeight="1" outlineLevel="1" x14ac:dyDescent="0.25">
      <c r="A304" s="74" t="s">
        <v>124</v>
      </c>
      <c r="B304" s="75" t="s">
        <v>70</v>
      </c>
      <c r="C304" s="75" t="s">
        <v>58</v>
      </c>
      <c r="D304" s="75" t="s">
        <v>36</v>
      </c>
      <c r="E304" s="75" t="s">
        <v>404</v>
      </c>
      <c r="F304" s="75" t="s">
        <v>117</v>
      </c>
      <c r="G304" s="311"/>
      <c r="H304" s="311"/>
      <c r="I304" s="320"/>
      <c r="J304" s="320"/>
      <c r="K304" s="409"/>
      <c r="L304" s="409"/>
      <c r="M304" s="323"/>
      <c r="N304" s="323"/>
      <c r="O304" s="313"/>
      <c r="P304" s="313"/>
      <c r="Q304" s="323"/>
      <c r="R304" s="323"/>
      <c r="S304" s="313"/>
      <c r="T304" s="313"/>
      <c r="U304" s="131">
        <f t="shared" si="132"/>
        <v>0</v>
      </c>
      <c r="V304" s="131">
        <f t="shared" si="133"/>
        <v>0</v>
      </c>
    </row>
    <row r="305" spans="1:22" s="77" customFormat="1" ht="15.75" customHeight="1" outlineLevel="1" x14ac:dyDescent="0.25">
      <c r="A305" s="74" t="s">
        <v>30</v>
      </c>
      <c r="B305" s="75" t="s">
        <v>70</v>
      </c>
      <c r="C305" s="75" t="s">
        <v>31</v>
      </c>
      <c r="D305" s="75" t="s">
        <v>10</v>
      </c>
      <c r="E305" s="75" t="s">
        <v>365</v>
      </c>
      <c r="F305" s="75" t="s">
        <v>9</v>
      </c>
      <c r="G305" s="311">
        <f t="shared" ref="G305:T305" si="144">G313+G306</f>
        <v>0</v>
      </c>
      <c r="H305" s="311">
        <f>H313+H306</f>
        <v>0</v>
      </c>
      <c r="I305" s="320">
        <f t="shared" si="144"/>
        <v>0</v>
      </c>
      <c r="J305" s="320">
        <f>J313+J306</f>
        <v>0</v>
      </c>
      <c r="K305" s="407">
        <f t="shared" si="144"/>
        <v>0</v>
      </c>
      <c r="L305" s="407">
        <f t="shared" si="144"/>
        <v>0</v>
      </c>
      <c r="M305" s="321">
        <f t="shared" si="144"/>
        <v>0</v>
      </c>
      <c r="N305" s="321">
        <f t="shared" si="144"/>
        <v>0</v>
      </c>
      <c r="O305" s="310">
        <f t="shared" si="144"/>
        <v>0</v>
      </c>
      <c r="P305" s="310">
        <f t="shared" si="144"/>
        <v>0</v>
      </c>
      <c r="Q305" s="321">
        <f t="shared" si="144"/>
        <v>0</v>
      </c>
      <c r="R305" s="321">
        <f t="shared" si="144"/>
        <v>0</v>
      </c>
      <c r="S305" s="310">
        <f t="shared" si="144"/>
        <v>0</v>
      </c>
      <c r="T305" s="310">
        <f t="shared" si="144"/>
        <v>0</v>
      </c>
      <c r="U305" s="131">
        <f t="shared" si="132"/>
        <v>0</v>
      </c>
      <c r="V305" s="131">
        <f t="shared" si="133"/>
        <v>0</v>
      </c>
    </row>
    <row r="306" spans="1:22" s="80" customFormat="1" ht="31.5" customHeight="1" outlineLevel="1" x14ac:dyDescent="0.25">
      <c r="A306" s="78" t="s">
        <v>57</v>
      </c>
      <c r="B306" s="79" t="s">
        <v>70</v>
      </c>
      <c r="C306" s="79" t="s">
        <v>31</v>
      </c>
      <c r="D306" s="79" t="s">
        <v>58</v>
      </c>
      <c r="E306" s="79" t="s">
        <v>365</v>
      </c>
      <c r="F306" s="79" t="s">
        <v>9</v>
      </c>
      <c r="G306" s="311">
        <f t="shared" ref="G306:T306" si="145">G307</f>
        <v>0</v>
      </c>
      <c r="H306" s="311">
        <f t="shared" si="145"/>
        <v>0</v>
      </c>
      <c r="I306" s="320">
        <f t="shared" si="145"/>
        <v>0</v>
      </c>
      <c r="J306" s="320">
        <f t="shared" si="145"/>
        <v>0</v>
      </c>
      <c r="K306" s="407">
        <f t="shared" si="145"/>
        <v>0</v>
      </c>
      <c r="L306" s="407">
        <f t="shared" si="145"/>
        <v>0</v>
      </c>
      <c r="M306" s="321">
        <f t="shared" si="145"/>
        <v>0</v>
      </c>
      <c r="N306" s="321">
        <f t="shared" si="145"/>
        <v>0</v>
      </c>
      <c r="O306" s="310">
        <f t="shared" si="145"/>
        <v>0</v>
      </c>
      <c r="P306" s="310">
        <f t="shared" si="145"/>
        <v>0</v>
      </c>
      <c r="Q306" s="321">
        <f t="shared" si="145"/>
        <v>0</v>
      </c>
      <c r="R306" s="321">
        <f t="shared" si="145"/>
        <v>0</v>
      </c>
      <c r="S306" s="310">
        <f t="shared" si="145"/>
        <v>0</v>
      </c>
      <c r="T306" s="310">
        <f t="shared" si="145"/>
        <v>0</v>
      </c>
      <c r="U306" s="132">
        <f t="shared" si="132"/>
        <v>0</v>
      </c>
      <c r="V306" s="132">
        <f t="shared" si="133"/>
        <v>0</v>
      </c>
    </row>
    <row r="307" spans="1:22" s="80" customFormat="1" ht="31.5" customHeight="1" outlineLevel="1" x14ac:dyDescent="0.25">
      <c r="A307" s="78" t="s">
        <v>784</v>
      </c>
      <c r="B307" s="79" t="s">
        <v>70</v>
      </c>
      <c r="C307" s="79" t="s">
        <v>31</v>
      </c>
      <c r="D307" s="79" t="s">
        <v>58</v>
      </c>
      <c r="E307" s="79" t="s">
        <v>380</v>
      </c>
      <c r="F307" s="79" t="s">
        <v>9</v>
      </c>
      <c r="G307" s="316">
        <f t="shared" ref="G307:T307" si="146">G308+G311</f>
        <v>0</v>
      </c>
      <c r="H307" s="316">
        <f>H308+H311</f>
        <v>0</v>
      </c>
      <c r="I307" s="338">
        <f t="shared" si="146"/>
        <v>0</v>
      </c>
      <c r="J307" s="338">
        <f>J308+J311</f>
        <v>0</v>
      </c>
      <c r="K307" s="408">
        <f t="shared" si="146"/>
        <v>0</v>
      </c>
      <c r="L307" s="408">
        <f t="shared" si="146"/>
        <v>0</v>
      </c>
      <c r="M307" s="322">
        <f t="shared" si="146"/>
        <v>0</v>
      </c>
      <c r="N307" s="322">
        <f t="shared" si="146"/>
        <v>0</v>
      </c>
      <c r="O307" s="312">
        <f t="shared" si="146"/>
        <v>0</v>
      </c>
      <c r="P307" s="312">
        <f t="shared" si="146"/>
        <v>0</v>
      </c>
      <c r="Q307" s="322">
        <f t="shared" si="146"/>
        <v>0</v>
      </c>
      <c r="R307" s="322">
        <f t="shared" si="146"/>
        <v>0</v>
      </c>
      <c r="S307" s="312">
        <f t="shared" si="146"/>
        <v>0</v>
      </c>
      <c r="T307" s="312">
        <f t="shared" si="146"/>
        <v>0</v>
      </c>
      <c r="U307" s="132">
        <f t="shared" si="132"/>
        <v>0</v>
      </c>
      <c r="V307" s="132">
        <f t="shared" si="133"/>
        <v>0</v>
      </c>
    </row>
    <row r="308" spans="1:22" s="80" customFormat="1" ht="47.25" customHeight="1" outlineLevel="1" x14ac:dyDescent="0.25">
      <c r="A308" s="78" t="s">
        <v>41</v>
      </c>
      <c r="B308" s="79" t="s">
        <v>70</v>
      </c>
      <c r="C308" s="79" t="s">
        <v>31</v>
      </c>
      <c r="D308" s="79" t="s">
        <v>58</v>
      </c>
      <c r="E308" s="79" t="s">
        <v>414</v>
      </c>
      <c r="F308" s="79" t="s">
        <v>9</v>
      </c>
      <c r="G308" s="316">
        <f t="shared" ref="G308:T308" si="147">G310</f>
        <v>0</v>
      </c>
      <c r="H308" s="316">
        <f>H310</f>
        <v>0</v>
      </c>
      <c r="I308" s="338">
        <f t="shared" si="147"/>
        <v>0</v>
      </c>
      <c r="J308" s="338">
        <f>J310</f>
        <v>0</v>
      </c>
      <c r="K308" s="408">
        <f t="shared" si="147"/>
        <v>0</v>
      </c>
      <c r="L308" s="408">
        <f t="shared" si="147"/>
        <v>0</v>
      </c>
      <c r="M308" s="322">
        <f t="shared" si="147"/>
        <v>0</v>
      </c>
      <c r="N308" s="322">
        <f t="shared" si="147"/>
        <v>0</v>
      </c>
      <c r="O308" s="312">
        <f t="shared" si="147"/>
        <v>0</v>
      </c>
      <c r="P308" s="312">
        <f t="shared" si="147"/>
        <v>0</v>
      </c>
      <c r="Q308" s="322">
        <f t="shared" si="147"/>
        <v>0</v>
      </c>
      <c r="R308" s="322">
        <f t="shared" si="147"/>
        <v>0</v>
      </c>
      <c r="S308" s="312">
        <f t="shared" si="147"/>
        <v>0</v>
      </c>
      <c r="T308" s="312">
        <f t="shared" si="147"/>
        <v>0</v>
      </c>
      <c r="U308" s="132">
        <f t="shared" si="132"/>
        <v>0</v>
      </c>
      <c r="V308" s="132">
        <f t="shared" si="133"/>
        <v>0</v>
      </c>
    </row>
    <row r="309" spans="1:22" s="80" customFormat="1" ht="31.5" customHeight="1" outlineLevel="1" x14ac:dyDescent="0.25">
      <c r="A309" s="78" t="s">
        <v>848</v>
      </c>
      <c r="B309" s="79" t="s">
        <v>70</v>
      </c>
      <c r="C309" s="79" t="s">
        <v>31</v>
      </c>
      <c r="D309" s="79" t="s">
        <v>58</v>
      </c>
      <c r="E309" s="79" t="s">
        <v>707</v>
      </c>
      <c r="F309" s="79" t="s">
        <v>9</v>
      </c>
      <c r="G309" s="316">
        <f t="shared" ref="G309:T309" si="148">G310</f>
        <v>0</v>
      </c>
      <c r="H309" s="316">
        <f t="shared" si="148"/>
        <v>0</v>
      </c>
      <c r="I309" s="338">
        <f t="shared" si="148"/>
        <v>0</v>
      </c>
      <c r="J309" s="338">
        <f t="shared" si="148"/>
        <v>0</v>
      </c>
      <c r="K309" s="408">
        <f t="shared" si="148"/>
        <v>0</v>
      </c>
      <c r="L309" s="408">
        <f t="shared" si="148"/>
        <v>0</v>
      </c>
      <c r="M309" s="322">
        <f t="shared" si="148"/>
        <v>0</v>
      </c>
      <c r="N309" s="322">
        <f t="shared" si="148"/>
        <v>0</v>
      </c>
      <c r="O309" s="312">
        <f t="shared" si="148"/>
        <v>0</v>
      </c>
      <c r="P309" s="312">
        <f t="shared" si="148"/>
        <v>0</v>
      </c>
      <c r="Q309" s="322">
        <f t="shared" si="148"/>
        <v>0</v>
      </c>
      <c r="R309" s="322">
        <f t="shared" si="148"/>
        <v>0</v>
      </c>
      <c r="S309" s="312">
        <f t="shared" si="148"/>
        <v>0</v>
      </c>
      <c r="T309" s="312">
        <f t="shared" si="148"/>
        <v>0</v>
      </c>
      <c r="U309" s="132">
        <f t="shared" si="132"/>
        <v>0</v>
      </c>
      <c r="V309" s="132">
        <f t="shared" si="133"/>
        <v>0</v>
      </c>
    </row>
    <row r="310" spans="1:22" s="77" customFormat="1" ht="31.5" customHeight="1" outlineLevel="1" x14ac:dyDescent="0.25">
      <c r="A310" s="74" t="s">
        <v>124</v>
      </c>
      <c r="B310" s="75" t="s">
        <v>70</v>
      </c>
      <c r="C310" s="75" t="s">
        <v>31</v>
      </c>
      <c r="D310" s="75" t="s">
        <v>58</v>
      </c>
      <c r="E310" s="75" t="s">
        <v>707</v>
      </c>
      <c r="F310" s="75" t="s">
        <v>117</v>
      </c>
      <c r="G310" s="311"/>
      <c r="H310" s="311"/>
      <c r="I310" s="320"/>
      <c r="J310" s="320"/>
      <c r="K310" s="409"/>
      <c r="L310" s="409"/>
      <c r="M310" s="323"/>
      <c r="N310" s="323"/>
      <c r="O310" s="313"/>
      <c r="P310" s="313"/>
      <c r="Q310" s="323"/>
      <c r="R310" s="323"/>
      <c r="S310" s="313"/>
      <c r="T310" s="313"/>
      <c r="U310" s="131">
        <f t="shared" si="132"/>
        <v>0</v>
      </c>
      <c r="V310" s="131">
        <f t="shared" si="133"/>
        <v>0</v>
      </c>
    </row>
    <row r="311" spans="1:22" s="77" customFormat="1" ht="31.5" customHeight="1" outlineLevel="1" x14ac:dyDescent="0.25">
      <c r="A311" s="78" t="s">
        <v>848</v>
      </c>
      <c r="B311" s="79" t="s">
        <v>70</v>
      </c>
      <c r="C311" s="79" t="s">
        <v>31</v>
      </c>
      <c r="D311" s="79" t="s">
        <v>58</v>
      </c>
      <c r="E311" s="79" t="s">
        <v>708</v>
      </c>
      <c r="F311" s="79" t="s">
        <v>9</v>
      </c>
      <c r="G311" s="316">
        <f t="shared" ref="G311:T311" si="149">G312</f>
        <v>0</v>
      </c>
      <c r="H311" s="316">
        <f t="shared" si="149"/>
        <v>0</v>
      </c>
      <c r="I311" s="338">
        <f t="shared" si="149"/>
        <v>0</v>
      </c>
      <c r="J311" s="338">
        <f t="shared" si="149"/>
        <v>0</v>
      </c>
      <c r="K311" s="408">
        <f t="shared" si="149"/>
        <v>0</v>
      </c>
      <c r="L311" s="408">
        <f t="shared" si="149"/>
        <v>0</v>
      </c>
      <c r="M311" s="322">
        <f t="shared" si="149"/>
        <v>0</v>
      </c>
      <c r="N311" s="322">
        <f t="shared" si="149"/>
        <v>0</v>
      </c>
      <c r="O311" s="312">
        <f t="shared" si="149"/>
        <v>0</v>
      </c>
      <c r="P311" s="312">
        <f t="shared" si="149"/>
        <v>0</v>
      </c>
      <c r="Q311" s="322">
        <f t="shared" si="149"/>
        <v>0</v>
      </c>
      <c r="R311" s="322">
        <f t="shared" si="149"/>
        <v>0</v>
      </c>
      <c r="S311" s="312">
        <f t="shared" si="149"/>
        <v>0</v>
      </c>
      <c r="T311" s="312">
        <f t="shared" si="149"/>
        <v>0</v>
      </c>
      <c r="U311" s="132">
        <f t="shared" si="132"/>
        <v>0</v>
      </c>
      <c r="V311" s="132">
        <f t="shared" si="133"/>
        <v>0</v>
      </c>
    </row>
    <row r="312" spans="1:22" s="77" customFormat="1" ht="31.5" customHeight="1" outlineLevel="1" x14ac:dyDescent="0.25">
      <c r="A312" s="74" t="s">
        <v>124</v>
      </c>
      <c r="B312" s="75" t="s">
        <v>70</v>
      </c>
      <c r="C312" s="75" t="s">
        <v>31</v>
      </c>
      <c r="D312" s="75" t="s">
        <v>58</v>
      </c>
      <c r="E312" s="75" t="s">
        <v>708</v>
      </c>
      <c r="F312" s="75" t="s">
        <v>117</v>
      </c>
      <c r="G312" s="311"/>
      <c r="H312" s="311"/>
      <c r="I312" s="320"/>
      <c r="J312" s="320"/>
      <c r="K312" s="409"/>
      <c r="L312" s="409"/>
      <c r="M312" s="323"/>
      <c r="N312" s="323"/>
      <c r="O312" s="313"/>
      <c r="P312" s="313"/>
      <c r="Q312" s="323"/>
      <c r="R312" s="323"/>
      <c r="S312" s="313"/>
      <c r="T312" s="313"/>
      <c r="U312" s="131">
        <f t="shared" si="132"/>
        <v>0</v>
      </c>
      <c r="V312" s="131">
        <f t="shared" si="133"/>
        <v>0</v>
      </c>
    </row>
    <row r="313" spans="1:22" s="80" customFormat="1" ht="15.75" customHeight="1" outlineLevel="1" x14ac:dyDescent="0.25">
      <c r="A313" s="74" t="s">
        <v>17</v>
      </c>
      <c r="B313" s="75" t="s">
        <v>70</v>
      </c>
      <c r="C313" s="75" t="s">
        <v>18</v>
      </c>
      <c r="D313" s="75" t="s">
        <v>10</v>
      </c>
      <c r="E313" s="75" t="s">
        <v>365</v>
      </c>
      <c r="F313" s="75" t="s">
        <v>9</v>
      </c>
      <c r="G313" s="311">
        <f t="shared" ref="G313:T317" si="150">G314</f>
        <v>0</v>
      </c>
      <c r="H313" s="311">
        <f t="shared" si="150"/>
        <v>0</v>
      </c>
      <c r="I313" s="320">
        <f t="shared" si="150"/>
        <v>0</v>
      </c>
      <c r="J313" s="320">
        <f t="shared" si="150"/>
        <v>0</v>
      </c>
      <c r="K313" s="407">
        <f t="shared" si="150"/>
        <v>0</v>
      </c>
      <c r="L313" s="407">
        <f t="shared" si="150"/>
        <v>0</v>
      </c>
      <c r="M313" s="321">
        <f t="shared" si="150"/>
        <v>0</v>
      </c>
      <c r="N313" s="321">
        <f t="shared" si="150"/>
        <v>0</v>
      </c>
      <c r="O313" s="310">
        <f t="shared" si="150"/>
        <v>0</v>
      </c>
      <c r="P313" s="310">
        <f t="shared" si="150"/>
        <v>0</v>
      </c>
      <c r="Q313" s="321">
        <f t="shared" si="150"/>
        <v>0</v>
      </c>
      <c r="R313" s="321">
        <f t="shared" si="150"/>
        <v>0</v>
      </c>
      <c r="S313" s="310">
        <f t="shared" si="150"/>
        <v>0</v>
      </c>
      <c r="T313" s="310">
        <f t="shared" si="150"/>
        <v>0</v>
      </c>
      <c r="U313" s="131">
        <f t="shared" si="132"/>
        <v>0</v>
      </c>
      <c r="V313" s="131">
        <f t="shared" si="133"/>
        <v>0</v>
      </c>
    </row>
    <row r="314" spans="1:22" s="80" customFormat="1" ht="15.75" customHeight="1" outlineLevel="1" x14ac:dyDescent="0.25">
      <c r="A314" s="78" t="s">
        <v>47</v>
      </c>
      <c r="B314" s="79" t="s">
        <v>70</v>
      </c>
      <c r="C314" s="79" t="s">
        <v>18</v>
      </c>
      <c r="D314" s="79" t="s">
        <v>25</v>
      </c>
      <c r="E314" s="79" t="s">
        <v>365</v>
      </c>
      <c r="F314" s="79" t="s">
        <v>9</v>
      </c>
      <c r="G314" s="316">
        <f t="shared" si="150"/>
        <v>0</v>
      </c>
      <c r="H314" s="316">
        <f t="shared" si="150"/>
        <v>0</v>
      </c>
      <c r="I314" s="338">
        <f t="shared" si="150"/>
        <v>0</v>
      </c>
      <c r="J314" s="338">
        <f t="shared" si="150"/>
        <v>0</v>
      </c>
      <c r="K314" s="408">
        <f t="shared" si="150"/>
        <v>0</v>
      </c>
      <c r="L314" s="408">
        <f t="shared" si="150"/>
        <v>0</v>
      </c>
      <c r="M314" s="322">
        <f t="shared" si="150"/>
        <v>0</v>
      </c>
      <c r="N314" s="322">
        <f t="shared" si="150"/>
        <v>0</v>
      </c>
      <c r="O314" s="312">
        <f t="shared" si="150"/>
        <v>0</v>
      </c>
      <c r="P314" s="312">
        <f t="shared" si="150"/>
        <v>0</v>
      </c>
      <c r="Q314" s="322">
        <f t="shared" si="150"/>
        <v>0</v>
      </c>
      <c r="R314" s="322">
        <f t="shared" si="150"/>
        <v>0</v>
      </c>
      <c r="S314" s="312">
        <f t="shared" si="150"/>
        <v>0</v>
      </c>
      <c r="T314" s="312">
        <f t="shared" si="150"/>
        <v>0</v>
      </c>
      <c r="U314" s="132">
        <f t="shared" si="132"/>
        <v>0</v>
      </c>
      <c r="V314" s="132">
        <f t="shared" si="133"/>
        <v>0</v>
      </c>
    </row>
    <row r="315" spans="1:22" s="80" customFormat="1" ht="31.5" customHeight="1" outlineLevel="1" x14ac:dyDescent="0.25">
      <c r="A315" s="78" t="s">
        <v>865</v>
      </c>
      <c r="B315" s="79" t="s">
        <v>70</v>
      </c>
      <c r="C315" s="79" t="s">
        <v>18</v>
      </c>
      <c r="D315" s="79" t="s">
        <v>25</v>
      </c>
      <c r="E315" s="79" t="s">
        <v>405</v>
      </c>
      <c r="F315" s="79" t="s">
        <v>9</v>
      </c>
      <c r="G315" s="316">
        <f t="shared" si="150"/>
        <v>0</v>
      </c>
      <c r="H315" s="316">
        <f t="shared" si="150"/>
        <v>0</v>
      </c>
      <c r="I315" s="338">
        <f t="shared" si="150"/>
        <v>0</v>
      </c>
      <c r="J315" s="338">
        <f t="shared" si="150"/>
        <v>0</v>
      </c>
      <c r="K315" s="408">
        <f t="shared" si="150"/>
        <v>0</v>
      </c>
      <c r="L315" s="408">
        <f t="shared" si="150"/>
        <v>0</v>
      </c>
      <c r="M315" s="322">
        <f t="shared" si="150"/>
        <v>0</v>
      </c>
      <c r="N315" s="322">
        <f t="shared" si="150"/>
        <v>0</v>
      </c>
      <c r="O315" s="312">
        <f t="shared" si="150"/>
        <v>0</v>
      </c>
      <c r="P315" s="312">
        <f t="shared" si="150"/>
        <v>0</v>
      </c>
      <c r="Q315" s="322">
        <f t="shared" si="150"/>
        <v>0</v>
      </c>
      <c r="R315" s="322">
        <f t="shared" si="150"/>
        <v>0</v>
      </c>
      <c r="S315" s="312">
        <f t="shared" si="150"/>
        <v>0</v>
      </c>
      <c r="T315" s="312">
        <f t="shared" si="150"/>
        <v>0</v>
      </c>
      <c r="U315" s="132">
        <f t="shared" si="132"/>
        <v>0</v>
      </c>
      <c r="V315" s="132">
        <f t="shared" si="133"/>
        <v>0</v>
      </c>
    </row>
    <row r="316" spans="1:22" s="80" customFormat="1" ht="47.25" customHeight="1" outlineLevel="1" x14ac:dyDescent="0.25">
      <c r="A316" s="78" t="s">
        <v>572</v>
      </c>
      <c r="B316" s="79" t="s">
        <v>70</v>
      </c>
      <c r="C316" s="79" t="s">
        <v>18</v>
      </c>
      <c r="D316" s="79" t="s">
        <v>25</v>
      </c>
      <c r="E316" s="79" t="s">
        <v>408</v>
      </c>
      <c r="F316" s="79" t="s">
        <v>9</v>
      </c>
      <c r="G316" s="316">
        <f t="shared" si="150"/>
        <v>0</v>
      </c>
      <c r="H316" s="316">
        <f t="shared" si="150"/>
        <v>0</v>
      </c>
      <c r="I316" s="338">
        <f t="shared" si="150"/>
        <v>0</v>
      </c>
      <c r="J316" s="338">
        <f t="shared" si="150"/>
        <v>0</v>
      </c>
      <c r="K316" s="408">
        <f t="shared" si="150"/>
        <v>0</v>
      </c>
      <c r="L316" s="408">
        <f t="shared" si="150"/>
        <v>0</v>
      </c>
      <c r="M316" s="322">
        <f t="shared" si="150"/>
        <v>0</v>
      </c>
      <c r="N316" s="322">
        <f t="shared" si="150"/>
        <v>0</v>
      </c>
      <c r="O316" s="312">
        <f t="shared" si="150"/>
        <v>0</v>
      </c>
      <c r="P316" s="312">
        <f t="shared" si="150"/>
        <v>0</v>
      </c>
      <c r="Q316" s="322">
        <f t="shared" si="150"/>
        <v>0</v>
      </c>
      <c r="R316" s="322">
        <f t="shared" si="150"/>
        <v>0</v>
      </c>
      <c r="S316" s="312">
        <f t="shared" si="150"/>
        <v>0</v>
      </c>
      <c r="T316" s="312">
        <f t="shared" si="150"/>
        <v>0</v>
      </c>
      <c r="U316" s="132">
        <f t="shared" si="132"/>
        <v>0</v>
      </c>
      <c r="V316" s="132">
        <f t="shared" si="133"/>
        <v>0</v>
      </c>
    </row>
    <row r="317" spans="1:22" s="77" customFormat="1" ht="15.75" customHeight="1" outlineLevel="1" x14ac:dyDescent="0.25">
      <c r="A317" s="78" t="s">
        <v>26</v>
      </c>
      <c r="B317" s="79" t="s">
        <v>70</v>
      </c>
      <c r="C317" s="79" t="s">
        <v>18</v>
      </c>
      <c r="D317" s="79" t="s">
        <v>25</v>
      </c>
      <c r="E317" s="79" t="s">
        <v>409</v>
      </c>
      <c r="F317" s="79" t="s">
        <v>9</v>
      </c>
      <c r="G317" s="316">
        <f t="shared" si="150"/>
        <v>0</v>
      </c>
      <c r="H317" s="316">
        <f t="shared" si="150"/>
        <v>0</v>
      </c>
      <c r="I317" s="338">
        <f t="shared" si="150"/>
        <v>0</v>
      </c>
      <c r="J317" s="338">
        <f t="shared" si="150"/>
        <v>0</v>
      </c>
      <c r="K317" s="408">
        <f t="shared" si="150"/>
        <v>0</v>
      </c>
      <c r="L317" s="408">
        <f t="shared" si="150"/>
        <v>0</v>
      </c>
      <c r="M317" s="322">
        <f t="shared" si="150"/>
        <v>0</v>
      </c>
      <c r="N317" s="322">
        <f t="shared" si="150"/>
        <v>0</v>
      </c>
      <c r="O317" s="312">
        <f t="shared" si="150"/>
        <v>0</v>
      </c>
      <c r="P317" s="312">
        <f t="shared" si="150"/>
        <v>0</v>
      </c>
      <c r="Q317" s="322">
        <f t="shared" si="150"/>
        <v>0</v>
      </c>
      <c r="R317" s="322">
        <f t="shared" si="150"/>
        <v>0</v>
      </c>
      <c r="S317" s="312">
        <f t="shared" si="150"/>
        <v>0</v>
      </c>
      <c r="T317" s="312">
        <f t="shared" si="150"/>
        <v>0</v>
      </c>
      <c r="U317" s="132">
        <f t="shared" si="132"/>
        <v>0</v>
      </c>
      <c r="V317" s="132">
        <f t="shared" si="133"/>
        <v>0</v>
      </c>
    </row>
    <row r="318" spans="1:22" s="80" customFormat="1" ht="63" customHeight="1" outlineLevel="1" x14ac:dyDescent="0.25">
      <c r="A318" s="74" t="s">
        <v>115</v>
      </c>
      <c r="B318" s="75" t="s">
        <v>70</v>
      </c>
      <c r="C318" s="75" t="s">
        <v>18</v>
      </c>
      <c r="D318" s="75" t="s">
        <v>25</v>
      </c>
      <c r="E318" s="75" t="s">
        <v>409</v>
      </c>
      <c r="F318" s="75" t="s">
        <v>113</v>
      </c>
      <c r="G318" s="311"/>
      <c r="H318" s="311"/>
      <c r="I318" s="320"/>
      <c r="J318" s="320"/>
      <c r="K318" s="409"/>
      <c r="L318" s="409"/>
      <c r="M318" s="323"/>
      <c r="N318" s="323"/>
      <c r="O318" s="313"/>
      <c r="P318" s="313"/>
      <c r="Q318" s="323"/>
      <c r="R318" s="323"/>
      <c r="S318" s="313"/>
      <c r="T318" s="313"/>
      <c r="U318" s="131">
        <f t="shared" si="132"/>
        <v>0</v>
      </c>
      <c r="V318" s="131">
        <f t="shared" si="133"/>
        <v>0</v>
      </c>
    </row>
    <row r="319" spans="1:22" s="80" customFormat="1" ht="31.5" x14ac:dyDescent="0.25">
      <c r="A319" s="74" t="s">
        <v>75</v>
      </c>
      <c r="B319" s="75" t="s">
        <v>76</v>
      </c>
      <c r="C319" s="75" t="s">
        <v>10</v>
      </c>
      <c r="D319" s="75" t="s">
        <v>10</v>
      </c>
      <c r="E319" s="75" t="s">
        <v>365</v>
      </c>
      <c r="F319" s="75" t="s">
        <v>9</v>
      </c>
      <c r="G319" s="311">
        <f t="shared" ref="G319:T319" si="151">G320+G418+G433+G563+G584+G607+G637+G688+G517+G715</f>
        <v>258759.67999999996</v>
      </c>
      <c r="H319" s="311">
        <f t="shared" si="151"/>
        <v>139606.77999999997</v>
      </c>
      <c r="I319" s="320">
        <f t="shared" si="151"/>
        <v>40865.61</v>
      </c>
      <c r="J319" s="320">
        <f t="shared" si="151"/>
        <v>140948.26999999999</v>
      </c>
      <c r="K319" s="407">
        <f t="shared" si="151"/>
        <v>0</v>
      </c>
      <c r="L319" s="407">
        <f t="shared" si="151"/>
        <v>0</v>
      </c>
      <c r="M319" s="321">
        <f t="shared" si="151"/>
        <v>0</v>
      </c>
      <c r="N319" s="321">
        <f t="shared" si="151"/>
        <v>0</v>
      </c>
      <c r="O319" s="310">
        <f t="shared" si="151"/>
        <v>0</v>
      </c>
      <c r="P319" s="310">
        <f t="shared" si="151"/>
        <v>0</v>
      </c>
      <c r="Q319" s="321">
        <f t="shared" si="151"/>
        <v>0</v>
      </c>
      <c r="R319" s="321">
        <f t="shared" si="151"/>
        <v>0</v>
      </c>
      <c r="S319" s="310">
        <f t="shared" si="151"/>
        <v>0</v>
      </c>
      <c r="T319" s="310">
        <f t="shared" si="151"/>
        <v>0</v>
      </c>
      <c r="U319" s="131">
        <f t="shared" si="132"/>
        <v>398366.45999999996</v>
      </c>
      <c r="V319" s="131">
        <f t="shared" si="133"/>
        <v>181813.88</v>
      </c>
    </row>
    <row r="320" spans="1:22" s="80" customFormat="1" x14ac:dyDescent="0.25">
      <c r="A320" s="74" t="s">
        <v>23</v>
      </c>
      <c r="B320" s="75" t="s">
        <v>76</v>
      </c>
      <c r="C320" s="75" t="s">
        <v>14</v>
      </c>
      <c r="D320" s="75" t="s">
        <v>10</v>
      </c>
      <c r="E320" s="75" t="s">
        <v>365</v>
      </c>
      <c r="F320" s="75" t="s">
        <v>9</v>
      </c>
      <c r="G320" s="311">
        <f t="shared" ref="G320:T320" si="152">G326+G366+G321+G357+G361</f>
        <v>4574.8</v>
      </c>
      <c r="H320" s="311">
        <f>H326+H366+H321+H357+H361</f>
        <v>46881.279999999999</v>
      </c>
      <c r="I320" s="320">
        <f t="shared" si="152"/>
        <v>4320.7000000000007</v>
      </c>
      <c r="J320" s="320">
        <f>J326+J366+J321+J357+J361</f>
        <v>45317.458770000005</v>
      </c>
      <c r="K320" s="407">
        <f t="shared" si="152"/>
        <v>-145.91749999999999</v>
      </c>
      <c r="L320" s="407">
        <f t="shared" si="152"/>
        <v>-144.97499999999999</v>
      </c>
      <c r="M320" s="321">
        <f t="shared" si="152"/>
        <v>0</v>
      </c>
      <c r="N320" s="321">
        <f t="shared" si="152"/>
        <v>0</v>
      </c>
      <c r="O320" s="310">
        <f t="shared" si="152"/>
        <v>0</v>
      </c>
      <c r="P320" s="310">
        <f t="shared" si="152"/>
        <v>0</v>
      </c>
      <c r="Q320" s="321">
        <f t="shared" si="152"/>
        <v>0</v>
      </c>
      <c r="R320" s="321">
        <f t="shared" si="152"/>
        <v>0</v>
      </c>
      <c r="S320" s="310">
        <f t="shared" si="152"/>
        <v>0</v>
      </c>
      <c r="T320" s="310">
        <f t="shared" si="152"/>
        <v>0</v>
      </c>
      <c r="U320" s="131">
        <f t="shared" si="132"/>
        <v>51310.162499999999</v>
      </c>
      <c r="V320" s="131">
        <f t="shared" si="133"/>
        <v>49493.183770000003</v>
      </c>
    </row>
    <row r="321" spans="1:22" s="80" customFormat="1" ht="31.5" x14ac:dyDescent="0.25">
      <c r="A321" s="78" t="s">
        <v>102</v>
      </c>
      <c r="B321" s="79" t="s">
        <v>76</v>
      </c>
      <c r="C321" s="79" t="s">
        <v>14</v>
      </c>
      <c r="D321" s="79" t="s">
        <v>36</v>
      </c>
      <c r="E321" s="79" t="s">
        <v>365</v>
      </c>
      <c r="F321" s="79" t="s">
        <v>9</v>
      </c>
      <c r="G321" s="316">
        <f t="shared" ref="G321:T321" si="153">G322</f>
        <v>0</v>
      </c>
      <c r="H321" s="316">
        <f t="shared" si="153"/>
        <v>1479.3</v>
      </c>
      <c r="I321" s="338">
        <f t="shared" si="153"/>
        <v>0</v>
      </c>
      <c r="J321" s="338">
        <f t="shared" si="153"/>
        <v>1479.3</v>
      </c>
      <c r="K321" s="408">
        <f t="shared" si="153"/>
        <v>0</v>
      </c>
      <c r="L321" s="408">
        <f t="shared" si="153"/>
        <v>0</v>
      </c>
      <c r="M321" s="322">
        <f t="shared" si="153"/>
        <v>0</v>
      </c>
      <c r="N321" s="322">
        <f t="shared" si="153"/>
        <v>0</v>
      </c>
      <c r="O321" s="312">
        <f t="shared" si="153"/>
        <v>0</v>
      </c>
      <c r="P321" s="312">
        <f t="shared" si="153"/>
        <v>0</v>
      </c>
      <c r="Q321" s="322">
        <f t="shared" si="153"/>
        <v>0</v>
      </c>
      <c r="R321" s="322">
        <f t="shared" si="153"/>
        <v>0</v>
      </c>
      <c r="S321" s="312">
        <f t="shared" si="153"/>
        <v>0</v>
      </c>
      <c r="T321" s="312">
        <f t="shared" si="153"/>
        <v>0</v>
      </c>
      <c r="U321" s="132">
        <f t="shared" si="132"/>
        <v>1479.3</v>
      </c>
      <c r="V321" s="132">
        <f t="shared" si="133"/>
        <v>1479.3</v>
      </c>
    </row>
    <row r="322" spans="1:22" s="77" customFormat="1" ht="31.5" x14ac:dyDescent="0.25">
      <c r="A322" s="78" t="s">
        <v>784</v>
      </c>
      <c r="B322" s="79" t="s">
        <v>76</v>
      </c>
      <c r="C322" s="79" t="s">
        <v>14</v>
      </c>
      <c r="D322" s="79" t="s">
        <v>36</v>
      </c>
      <c r="E322" s="79" t="s">
        <v>380</v>
      </c>
      <c r="F322" s="79" t="s">
        <v>9</v>
      </c>
      <c r="G322" s="316">
        <f t="shared" ref="G322:T322" si="154">G324</f>
        <v>0</v>
      </c>
      <c r="H322" s="316">
        <f>H324</f>
        <v>1479.3</v>
      </c>
      <c r="I322" s="338">
        <f t="shared" si="154"/>
        <v>0</v>
      </c>
      <c r="J322" s="338">
        <f>J324</f>
        <v>1479.3</v>
      </c>
      <c r="K322" s="408">
        <f t="shared" si="154"/>
        <v>0</v>
      </c>
      <c r="L322" s="408">
        <f t="shared" si="154"/>
        <v>0</v>
      </c>
      <c r="M322" s="322">
        <f t="shared" si="154"/>
        <v>0</v>
      </c>
      <c r="N322" s="322">
        <f t="shared" si="154"/>
        <v>0</v>
      </c>
      <c r="O322" s="312">
        <f t="shared" si="154"/>
        <v>0</v>
      </c>
      <c r="P322" s="312">
        <f t="shared" si="154"/>
        <v>0</v>
      </c>
      <c r="Q322" s="322">
        <f t="shared" si="154"/>
        <v>0</v>
      </c>
      <c r="R322" s="322">
        <f t="shared" si="154"/>
        <v>0</v>
      </c>
      <c r="S322" s="312">
        <f t="shared" si="154"/>
        <v>0</v>
      </c>
      <c r="T322" s="312">
        <f t="shared" si="154"/>
        <v>0</v>
      </c>
      <c r="U322" s="132">
        <f t="shared" si="132"/>
        <v>1479.3</v>
      </c>
      <c r="V322" s="132">
        <f t="shared" si="133"/>
        <v>1479.3</v>
      </c>
    </row>
    <row r="323" spans="1:22" s="77" customFormat="1" ht="31.5" x14ac:dyDescent="0.25">
      <c r="A323" s="78" t="s">
        <v>568</v>
      </c>
      <c r="B323" s="79" t="s">
        <v>76</v>
      </c>
      <c r="C323" s="79" t="s">
        <v>14</v>
      </c>
      <c r="D323" s="79" t="s">
        <v>36</v>
      </c>
      <c r="E323" s="79" t="s">
        <v>421</v>
      </c>
      <c r="F323" s="79" t="s">
        <v>9</v>
      </c>
      <c r="G323" s="316">
        <f t="shared" ref="G323:T324" si="155">G324</f>
        <v>0</v>
      </c>
      <c r="H323" s="316">
        <f t="shared" si="155"/>
        <v>1479.3</v>
      </c>
      <c r="I323" s="338">
        <f t="shared" si="155"/>
        <v>0</v>
      </c>
      <c r="J323" s="338">
        <f t="shared" si="155"/>
        <v>1479.3</v>
      </c>
      <c r="K323" s="408">
        <f t="shared" si="155"/>
        <v>0</v>
      </c>
      <c r="L323" s="408">
        <f t="shared" si="155"/>
        <v>0</v>
      </c>
      <c r="M323" s="322">
        <f t="shared" si="155"/>
        <v>0</v>
      </c>
      <c r="N323" s="322">
        <f t="shared" si="155"/>
        <v>0</v>
      </c>
      <c r="O323" s="312">
        <f t="shared" si="155"/>
        <v>0</v>
      </c>
      <c r="P323" s="312">
        <f t="shared" si="155"/>
        <v>0</v>
      </c>
      <c r="Q323" s="322">
        <f t="shared" si="155"/>
        <v>0</v>
      </c>
      <c r="R323" s="322">
        <f t="shared" si="155"/>
        <v>0</v>
      </c>
      <c r="S323" s="312">
        <f t="shared" si="155"/>
        <v>0</v>
      </c>
      <c r="T323" s="312">
        <f t="shared" si="155"/>
        <v>0</v>
      </c>
      <c r="U323" s="132">
        <f t="shared" si="132"/>
        <v>1479.3</v>
      </c>
      <c r="V323" s="132">
        <f t="shared" si="133"/>
        <v>1479.3</v>
      </c>
    </row>
    <row r="324" spans="1:22" s="80" customFormat="1" x14ac:dyDescent="0.25">
      <c r="A324" s="78" t="s">
        <v>210</v>
      </c>
      <c r="B324" s="79" t="s">
        <v>76</v>
      </c>
      <c r="C324" s="79" t="s">
        <v>14</v>
      </c>
      <c r="D324" s="79" t="s">
        <v>36</v>
      </c>
      <c r="E324" s="79" t="s">
        <v>790</v>
      </c>
      <c r="F324" s="79" t="s">
        <v>9</v>
      </c>
      <c r="G324" s="316">
        <f t="shared" si="155"/>
        <v>0</v>
      </c>
      <c r="H324" s="316">
        <f t="shared" si="155"/>
        <v>1479.3</v>
      </c>
      <c r="I324" s="338">
        <f t="shared" si="155"/>
        <v>0</v>
      </c>
      <c r="J324" s="338">
        <f t="shared" si="155"/>
        <v>1479.3</v>
      </c>
      <c r="K324" s="408">
        <f t="shared" si="155"/>
        <v>0</v>
      </c>
      <c r="L324" s="408">
        <f t="shared" si="155"/>
        <v>0</v>
      </c>
      <c r="M324" s="322">
        <f t="shared" si="155"/>
        <v>0</v>
      </c>
      <c r="N324" s="322">
        <f t="shared" si="155"/>
        <v>0</v>
      </c>
      <c r="O324" s="312">
        <f t="shared" si="155"/>
        <v>0</v>
      </c>
      <c r="P324" s="312">
        <f t="shared" si="155"/>
        <v>0</v>
      </c>
      <c r="Q324" s="322">
        <f t="shared" si="155"/>
        <v>0</v>
      </c>
      <c r="R324" s="322">
        <f t="shared" si="155"/>
        <v>0</v>
      </c>
      <c r="S324" s="312">
        <f t="shared" si="155"/>
        <v>0</v>
      </c>
      <c r="T324" s="312">
        <f t="shared" si="155"/>
        <v>0</v>
      </c>
      <c r="U324" s="132">
        <f t="shared" si="132"/>
        <v>1479.3</v>
      </c>
      <c r="V324" s="132">
        <f t="shared" si="133"/>
        <v>1479.3</v>
      </c>
    </row>
    <row r="325" spans="1:22" s="80" customFormat="1" ht="63" x14ac:dyDescent="0.25">
      <c r="A325" s="74" t="s">
        <v>115</v>
      </c>
      <c r="B325" s="75" t="s">
        <v>76</v>
      </c>
      <c r="C325" s="75" t="s">
        <v>14</v>
      </c>
      <c r="D325" s="75" t="s">
        <v>36</v>
      </c>
      <c r="E325" s="75" t="s">
        <v>790</v>
      </c>
      <c r="F325" s="75" t="s">
        <v>113</v>
      </c>
      <c r="G325" s="311"/>
      <c r="H325" s="311">
        <v>1479.3</v>
      </c>
      <c r="I325" s="320"/>
      <c r="J325" s="320">
        <v>1479.3</v>
      </c>
      <c r="K325" s="409"/>
      <c r="L325" s="409"/>
      <c r="M325" s="323"/>
      <c r="N325" s="323"/>
      <c r="O325" s="313"/>
      <c r="P325" s="313"/>
      <c r="Q325" s="323"/>
      <c r="R325" s="323"/>
      <c r="S325" s="313"/>
      <c r="T325" s="313"/>
      <c r="U325" s="131">
        <f t="shared" si="132"/>
        <v>1479.3</v>
      </c>
      <c r="V325" s="131">
        <f t="shared" si="133"/>
        <v>1479.3</v>
      </c>
    </row>
    <row r="326" spans="1:22" s="80" customFormat="1" ht="47.25" x14ac:dyDescent="0.25">
      <c r="A326" s="78" t="s">
        <v>24</v>
      </c>
      <c r="B326" s="79" t="s">
        <v>76</v>
      </c>
      <c r="C326" s="79" t="s">
        <v>14</v>
      </c>
      <c r="D326" s="79" t="s">
        <v>25</v>
      </c>
      <c r="E326" s="79" t="s">
        <v>365</v>
      </c>
      <c r="F326" s="79" t="s">
        <v>9</v>
      </c>
      <c r="G326" s="316">
        <f t="shared" ref="G326:T326" si="156">G332+G327</f>
        <v>4451</v>
      </c>
      <c r="H326" s="316">
        <f>H332+H327</f>
        <v>24303.360000000001</v>
      </c>
      <c r="I326" s="338">
        <f t="shared" si="156"/>
        <v>4197</v>
      </c>
      <c r="J326" s="338">
        <f>J332+J327</f>
        <v>24303.360000000001</v>
      </c>
      <c r="K326" s="408">
        <f t="shared" si="156"/>
        <v>0</v>
      </c>
      <c r="L326" s="408">
        <f t="shared" si="156"/>
        <v>0</v>
      </c>
      <c r="M326" s="322">
        <f t="shared" si="156"/>
        <v>0</v>
      </c>
      <c r="N326" s="322">
        <f t="shared" si="156"/>
        <v>0</v>
      </c>
      <c r="O326" s="312">
        <f t="shared" si="156"/>
        <v>0</v>
      </c>
      <c r="P326" s="312">
        <f t="shared" si="156"/>
        <v>0</v>
      </c>
      <c r="Q326" s="322">
        <f t="shared" si="156"/>
        <v>0</v>
      </c>
      <c r="R326" s="322">
        <f t="shared" si="156"/>
        <v>0</v>
      </c>
      <c r="S326" s="312">
        <f t="shared" si="156"/>
        <v>0</v>
      </c>
      <c r="T326" s="312">
        <f t="shared" si="156"/>
        <v>0</v>
      </c>
      <c r="U326" s="132">
        <f t="shared" si="132"/>
        <v>28754.36</v>
      </c>
      <c r="V326" s="132">
        <f t="shared" si="133"/>
        <v>28500.36</v>
      </c>
    </row>
    <row r="327" spans="1:22" s="77" customFormat="1" ht="31.5" x14ac:dyDescent="0.25">
      <c r="A327" s="78" t="s">
        <v>787</v>
      </c>
      <c r="B327" s="79" t="s">
        <v>76</v>
      </c>
      <c r="C327" s="79" t="s">
        <v>14</v>
      </c>
      <c r="D327" s="79" t="s">
        <v>25</v>
      </c>
      <c r="E327" s="79" t="s">
        <v>495</v>
      </c>
      <c r="F327" s="79" t="s">
        <v>9</v>
      </c>
      <c r="G327" s="316">
        <f t="shared" ref="G327:T328" si="157">G328</f>
        <v>1100</v>
      </c>
      <c r="H327" s="316">
        <f t="shared" si="157"/>
        <v>0</v>
      </c>
      <c r="I327" s="338">
        <f t="shared" si="157"/>
        <v>1100</v>
      </c>
      <c r="J327" s="338">
        <f t="shared" si="157"/>
        <v>0</v>
      </c>
      <c r="K327" s="408">
        <f t="shared" si="157"/>
        <v>0</v>
      </c>
      <c r="L327" s="408">
        <f t="shared" si="157"/>
        <v>0</v>
      </c>
      <c r="M327" s="322">
        <f t="shared" si="157"/>
        <v>0</v>
      </c>
      <c r="N327" s="322">
        <f t="shared" si="157"/>
        <v>0</v>
      </c>
      <c r="O327" s="312">
        <f t="shared" si="157"/>
        <v>0</v>
      </c>
      <c r="P327" s="312">
        <f t="shared" si="157"/>
        <v>0</v>
      </c>
      <c r="Q327" s="322">
        <f t="shared" si="157"/>
        <v>0</v>
      </c>
      <c r="R327" s="322">
        <f t="shared" si="157"/>
        <v>0</v>
      </c>
      <c r="S327" s="312">
        <f t="shared" si="157"/>
        <v>0</v>
      </c>
      <c r="T327" s="312">
        <f t="shared" si="157"/>
        <v>0</v>
      </c>
      <c r="U327" s="132">
        <f t="shared" si="132"/>
        <v>1100</v>
      </c>
      <c r="V327" s="132">
        <f t="shared" si="133"/>
        <v>1100</v>
      </c>
    </row>
    <row r="328" spans="1:22" s="80" customFormat="1" ht="47.25" x14ac:dyDescent="0.25">
      <c r="A328" s="78" t="s">
        <v>1110</v>
      </c>
      <c r="B328" s="79" t="s">
        <v>76</v>
      </c>
      <c r="C328" s="79" t="s">
        <v>14</v>
      </c>
      <c r="D328" s="79" t="s">
        <v>25</v>
      </c>
      <c r="E328" s="79" t="s">
        <v>496</v>
      </c>
      <c r="F328" s="79" t="s">
        <v>9</v>
      </c>
      <c r="G328" s="316">
        <f t="shared" si="157"/>
        <v>1100</v>
      </c>
      <c r="H328" s="316">
        <f t="shared" si="157"/>
        <v>0</v>
      </c>
      <c r="I328" s="338">
        <f t="shared" si="157"/>
        <v>1100</v>
      </c>
      <c r="J328" s="338">
        <f t="shared" si="157"/>
        <v>0</v>
      </c>
      <c r="K328" s="408">
        <f t="shared" si="157"/>
        <v>0</v>
      </c>
      <c r="L328" s="408">
        <f t="shared" si="157"/>
        <v>0</v>
      </c>
      <c r="M328" s="322">
        <f t="shared" si="157"/>
        <v>0</v>
      </c>
      <c r="N328" s="322">
        <f t="shared" si="157"/>
        <v>0</v>
      </c>
      <c r="O328" s="312">
        <f t="shared" si="157"/>
        <v>0</v>
      </c>
      <c r="P328" s="312">
        <f t="shared" si="157"/>
        <v>0</v>
      </c>
      <c r="Q328" s="322">
        <f t="shared" si="157"/>
        <v>0</v>
      </c>
      <c r="R328" s="322">
        <f t="shared" si="157"/>
        <v>0</v>
      </c>
      <c r="S328" s="312">
        <f t="shared" si="157"/>
        <v>0</v>
      </c>
      <c r="T328" s="312">
        <f t="shared" si="157"/>
        <v>0</v>
      </c>
      <c r="U328" s="132">
        <f t="shared" si="132"/>
        <v>1100</v>
      </c>
      <c r="V328" s="132">
        <f t="shared" si="133"/>
        <v>1100</v>
      </c>
    </row>
    <row r="329" spans="1:22" s="77" customFormat="1" ht="47.25" x14ac:dyDescent="0.25">
      <c r="A329" s="78" t="s">
        <v>110</v>
      </c>
      <c r="B329" s="79" t="s">
        <v>76</v>
      </c>
      <c r="C329" s="79" t="s">
        <v>14</v>
      </c>
      <c r="D329" s="79" t="s">
        <v>25</v>
      </c>
      <c r="E329" s="79" t="s">
        <v>497</v>
      </c>
      <c r="F329" s="79" t="s">
        <v>9</v>
      </c>
      <c r="G329" s="316">
        <f t="shared" ref="G329:T329" si="158">G330+G331</f>
        <v>1100</v>
      </c>
      <c r="H329" s="316">
        <f>H330+H331</f>
        <v>0</v>
      </c>
      <c r="I329" s="338">
        <f t="shared" si="158"/>
        <v>1100</v>
      </c>
      <c r="J329" s="338">
        <f>J330+J331</f>
        <v>0</v>
      </c>
      <c r="K329" s="408">
        <f t="shared" si="158"/>
        <v>0</v>
      </c>
      <c r="L329" s="408">
        <f t="shared" si="158"/>
        <v>0</v>
      </c>
      <c r="M329" s="322">
        <f t="shared" si="158"/>
        <v>0</v>
      </c>
      <c r="N329" s="322">
        <f t="shared" si="158"/>
        <v>0</v>
      </c>
      <c r="O329" s="312">
        <f t="shared" si="158"/>
        <v>0</v>
      </c>
      <c r="P329" s="312">
        <f t="shared" si="158"/>
        <v>0</v>
      </c>
      <c r="Q329" s="322">
        <f t="shared" si="158"/>
        <v>0</v>
      </c>
      <c r="R329" s="322">
        <f t="shared" si="158"/>
        <v>0</v>
      </c>
      <c r="S329" s="312">
        <f t="shared" si="158"/>
        <v>0</v>
      </c>
      <c r="T329" s="312">
        <f t="shared" si="158"/>
        <v>0</v>
      </c>
      <c r="U329" s="132">
        <f t="shared" si="132"/>
        <v>1100</v>
      </c>
      <c r="V329" s="132">
        <f t="shared" si="133"/>
        <v>1100</v>
      </c>
    </row>
    <row r="330" spans="1:22" s="80" customFormat="1" ht="63" x14ac:dyDescent="0.25">
      <c r="A330" s="74" t="s">
        <v>115</v>
      </c>
      <c r="B330" s="75" t="s">
        <v>76</v>
      </c>
      <c r="C330" s="75" t="s">
        <v>14</v>
      </c>
      <c r="D330" s="75" t="s">
        <v>25</v>
      </c>
      <c r="E330" s="75" t="s">
        <v>497</v>
      </c>
      <c r="F330" s="75" t="s">
        <v>113</v>
      </c>
      <c r="G330" s="311">
        <v>1100</v>
      </c>
      <c r="H330" s="311"/>
      <c r="I330" s="320">
        <v>1100</v>
      </c>
      <c r="J330" s="320"/>
      <c r="K330" s="409"/>
      <c r="L330" s="409"/>
      <c r="M330" s="323"/>
      <c r="N330" s="323"/>
      <c r="O330" s="313"/>
      <c r="P330" s="313"/>
      <c r="Q330" s="323"/>
      <c r="R330" s="323"/>
      <c r="S330" s="313"/>
      <c r="T330" s="313"/>
      <c r="U330" s="131">
        <f t="shared" si="132"/>
        <v>1100</v>
      </c>
      <c r="V330" s="131">
        <f t="shared" si="133"/>
        <v>1100</v>
      </c>
    </row>
    <row r="331" spans="1:22" s="80" customFormat="1" ht="31.5" customHeight="1" outlineLevel="1" x14ac:dyDescent="0.25">
      <c r="A331" s="74" t="s">
        <v>124</v>
      </c>
      <c r="B331" s="75" t="s">
        <v>76</v>
      </c>
      <c r="C331" s="75" t="s">
        <v>14</v>
      </c>
      <c r="D331" s="75" t="s">
        <v>25</v>
      </c>
      <c r="E331" s="75" t="s">
        <v>497</v>
      </c>
      <c r="F331" s="75" t="s">
        <v>117</v>
      </c>
      <c r="G331" s="311"/>
      <c r="H331" s="311"/>
      <c r="I331" s="320"/>
      <c r="J331" s="320"/>
      <c r="K331" s="409"/>
      <c r="L331" s="409"/>
      <c r="M331" s="323"/>
      <c r="N331" s="323"/>
      <c r="O331" s="313"/>
      <c r="P331" s="313"/>
      <c r="Q331" s="323"/>
      <c r="R331" s="323"/>
      <c r="S331" s="313"/>
      <c r="T331" s="313"/>
      <c r="U331" s="131">
        <f t="shared" si="132"/>
        <v>0</v>
      </c>
      <c r="V331" s="131">
        <f t="shared" si="133"/>
        <v>0</v>
      </c>
    </row>
    <row r="332" spans="1:22" s="77" customFormat="1" ht="31.5" x14ac:dyDescent="0.25">
      <c r="A332" s="78" t="s">
        <v>784</v>
      </c>
      <c r="B332" s="79" t="s">
        <v>76</v>
      </c>
      <c r="C332" s="79" t="s">
        <v>14</v>
      </c>
      <c r="D332" s="79" t="s">
        <v>25</v>
      </c>
      <c r="E332" s="79" t="s">
        <v>380</v>
      </c>
      <c r="F332" s="79" t="s">
        <v>9</v>
      </c>
      <c r="G332" s="316">
        <f t="shared" ref="G332:T332" si="159">G338+G345+G348+G353+G355+G333+G336</f>
        <v>3351</v>
      </c>
      <c r="H332" s="316">
        <f>H338+H345+H348+H353+H355+H333+H336</f>
        <v>24303.360000000001</v>
      </c>
      <c r="I332" s="338">
        <f t="shared" si="159"/>
        <v>3097</v>
      </c>
      <c r="J332" s="338">
        <f>J338+J345+J348+J353+J355+J333+J336</f>
        <v>24303.360000000001</v>
      </c>
      <c r="K332" s="408">
        <f t="shared" si="159"/>
        <v>0</v>
      </c>
      <c r="L332" s="408">
        <f t="shared" si="159"/>
        <v>0</v>
      </c>
      <c r="M332" s="322">
        <f t="shared" si="159"/>
        <v>0</v>
      </c>
      <c r="N332" s="322">
        <f t="shared" si="159"/>
        <v>0</v>
      </c>
      <c r="O332" s="312">
        <f t="shared" si="159"/>
        <v>0</v>
      </c>
      <c r="P332" s="312">
        <f t="shared" si="159"/>
        <v>0</v>
      </c>
      <c r="Q332" s="322">
        <f t="shared" si="159"/>
        <v>0</v>
      </c>
      <c r="R332" s="322">
        <f t="shared" si="159"/>
        <v>0</v>
      </c>
      <c r="S332" s="312">
        <f t="shared" si="159"/>
        <v>0</v>
      </c>
      <c r="T332" s="312">
        <f t="shared" si="159"/>
        <v>0</v>
      </c>
      <c r="U332" s="132">
        <f t="shared" si="132"/>
        <v>27654.36</v>
      </c>
      <c r="V332" s="132">
        <f t="shared" si="133"/>
        <v>27400.36</v>
      </c>
    </row>
    <row r="333" spans="1:22" s="77" customFormat="1" ht="47.25" customHeight="1" outlineLevel="1" x14ac:dyDescent="0.25">
      <c r="A333" s="78" t="s">
        <v>41</v>
      </c>
      <c r="B333" s="79" t="s">
        <v>76</v>
      </c>
      <c r="C333" s="79" t="s">
        <v>14</v>
      </c>
      <c r="D333" s="79" t="s">
        <v>25</v>
      </c>
      <c r="E333" s="79" t="s">
        <v>414</v>
      </c>
      <c r="F333" s="79" t="s">
        <v>9</v>
      </c>
      <c r="G333" s="316">
        <f t="shared" ref="G333:T334" si="160">G334</f>
        <v>0</v>
      </c>
      <c r="H333" s="316">
        <f t="shared" si="160"/>
        <v>0</v>
      </c>
      <c r="I333" s="338">
        <f t="shared" si="160"/>
        <v>0</v>
      </c>
      <c r="J333" s="338">
        <f t="shared" si="160"/>
        <v>0</v>
      </c>
      <c r="K333" s="408">
        <f t="shared" si="160"/>
        <v>0</v>
      </c>
      <c r="L333" s="408">
        <f t="shared" si="160"/>
        <v>0</v>
      </c>
      <c r="M333" s="322">
        <f t="shared" si="160"/>
        <v>0</v>
      </c>
      <c r="N333" s="322">
        <f t="shared" si="160"/>
        <v>0</v>
      </c>
      <c r="O333" s="312">
        <f t="shared" si="160"/>
        <v>0</v>
      </c>
      <c r="P333" s="312">
        <f t="shared" si="160"/>
        <v>0</v>
      </c>
      <c r="Q333" s="322">
        <f t="shared" si="160"/>
        <v>0</v>
      </c>
      <c r="R333" s="322">
        <f t="shared" si="160"/>
        <v>0</v>
      </c>
      <c r="S333" s="312">
        <f t="shared" si="160"/>
        <v>0</v>
      </c>
      <c r="T333" s="312">
        <f t="shared" si="160"/>
        <v>0</v>
      </c>
      <c r="U333" s="132">
        <f t="shared" si="132"/>
        <v>0</v>
      </c>
      <c r="V333" s="132">
        <f t="shared" si="133"/>
        <v>0</v>
      </c>
    </row>
    <row r="334" spans="1:22" s="80" customFormat="1" ht="47.25" customHeight="1" outlineLevel="1" x14ac:dyDescent="0.25">
      <c r="A334" s="78" t="s">
        <v>848</v>
      </c>
      <c r="B334" s="79" t="s">
        <v>76</v>
      </c>
      <c r="C334" s="79" t="s">
        <v>14</v>
      </c>
      <c r="D334" s="79" t="s">
        <v>25</v>
      </c>
      <c r="E334" s="79" t="s">
        <v>707</v>
      </c>
      <c r="F334" s="79" t="s">
        <v>9</v>
      </c>
      <c r="G334" s="316">
        <f t="shared" si="160"/>
        <v>0</v>
      </c>
      <c r="H334" s="316">
        <f t="shared" si="160"/>
        <v>0</v>
      </c>
      <c r="I334" s="338">
        <f t="shared" si="160"/>
        <v>0</v>
      </c>
      <c r="J334" s="338">
        <f t="shared" si="160"/>
        <v>0</v>
      </c>
      <c r="K334" s="408">
        <f t="shared" si="160"/>
        <v>0</v>
      </c>
      <c r="L334" s="408">
        <f t="shared" si="160"/>
        <v>0</v>
      </c>
      <c r="M334" s="322">
        <f t="shared" si="160"/>
        <v>0</v>
      </c>
      <c r="N334" s="322">
        <f t="shared" si="160"/>
        <v>0</v>
      </c>
      <c r="O334" s="312">
        <f t="shared" si="160"/>
        <v>0</v>
      </c>
      <c r="P334" s="312">
        <f t="shared" si="160"/>
        <v>0</v>
      </c>
      <c r="Q334" s="322">
        <f t="shared" si="160"/>
        <v>0</v>
      </c>
      <c r="R334" s="322">
        <f t="shared" si="160"/>
        <v>0</v>
      </c>
      <c r="S334" s="312">
        <f t="shared" si="160"/>
        <v>0</v>
      </c>
      <c r="T334" s="312">
        <f t="shared" si="160"/>
        <v>0</v>
      </c>
      <c r="U334" s="132">
        <f t="shared" si="132"/>
        <v>0</v>
      </c>
      <c r="V334" s="132">
        <f t="shared" si="133"/>
        <v>0</v>
      </c>
    </row>
    <row r="335" spans="1:22" s="77" customFormat="1" ht="31.5" customHeight="1" outlineLevel="1" x14ac:dyDescent="0.25">
      <c r="A335" s="74" t="s">
        <v>124</v>
      </c>
      <c r="B335" s="75" t="s">
        <v>76</v>
      </c>
      <c r="C335" s="75" t="s">
        <v>14</v>
      </c>
      <c r="D335" s="75" t="s">
        <v>25</v>
      </c>
      <c r="E335" s="75" t="s">
        <v>707</v>
      </c>
      <c r="F335" s="75" t="s">
        <v>117</v>
      </c>
      <c r="G335" s="311"/>
      <c r="H335" s="311"/>
      <c r="I335" s="320"/>
      <c r="J335" s="320"/>
      <c r="K335" s="409"/>
      <c r="L335" s="409"/>
      <c r="M335" s="323"/>
      <c r="N335" s="323"/>
      <c r="O335" s="313"/>
      <c r="P335" s="313"/>
      <c r="Q335" s="323"/>
      <c r="R335" s="323"/>
      <c r="S335" s="313"/>
      <c r="T335" s="313"/>
      <c r="U335" s="131">
        <f t="shared" si="132"/>
        <v>0</v>
      </c>
      <c r="V335" s="131">
        <f t="shared" si="133"/>
        <v>0</v>
      </c>
    </row>
    <row r="336" spans="1:22" s="77" customFormat="1" ht="47.25" customHeight="1" outlineLevel="1" x14ac:dyDescent="0.25">
      <c r="A336" s="78" t="s">
        <v>848</v>
      </c>
      <c r="B336" s="79" t="s">
        <v>76</v>
      </c>
      <c r="C336" s="79" t="s">
        <v>14</v>
      </c>
      <c r="D336" s="79" t="s">
        <v>25</v>
      </c>
      <c r="E336" s="79" t="s">
        <v>708</v>
      </c>
      <c r="F336" s="79" t="s">
        <v>9</v>
      </c>
      <c r="G336" s="316">
        <f t="shared" ref="G336:T336" si="161">G337</f>
        <v>0</v>
      </c>
      <c r="H336" s="316">
        <f t="shared" si="161"/>
        <v>0</v>
      </c>
      <c r="I336" s="338">
        <f t="shared" si="161"/>
        <v>0</v>
      </c>
      <c r="J336" s="338">
        <f t="shared" si="161"/>
        <v>0</v>
      </c>
      <c r="K336" s="408">
        <f t="shared" si="161"/>
        <v>0</v>
      </c>
      <c r="L336" s="408">
        <f t="shared" si="161"/>
        <v>0</v>
      </c>
      <c r="M336" s="322">
        <f t="shared" si="161"/>
        <v>0</v>
      </c>
      <c r="N336" s="322">
        <f t="shared" si="161"/>
        <v>0</v>
      </c>
      <c r="O336" s="312">
        <f t="shared" si="161"/>
        <v>0</v>
      </c>
      <c r="P336" s="312">
        <f t="shared" si="161"/>
        <v>0</v>
      </c>
      <c r="Q336" s="322">
        <f t="shared" si="161"/>
        <v>0</v>
      </c>
      <c r="R336" s="322">
        <f t="shared" si="161"/>
        <v>0</v>
      </c>
      <c r="S336" s="312">
        <f t="shared" si="161"/>
        <v>0</v>
      </c>
      <c r="T336" s="312">
        <f t="shared" si="161"/>
        <v>0</v>
      </c>
      <c r="U336" s="132">
        <f t="shared" si="132"/>
        <v>0</v>
      </c>
      <c r="V336" s="132">
        <f t="shared" si="133"/>
        <v>0</v>
      </c>
    </row>
    <row r="337" spans="1:22" s="80" customFormat="1" ht="31.5" customHeight="1" outlineLevel="1" x14ac:dyDescent="0.25">
      <c r="A337" s="74" t="s">
        <v>124</v>
      </c>
      <c r="B337" s="75" t="s">
        <v>76</v>
      </c>
      <c r="C337" s="75" t="s">
        <v>14</v>
      </c>
      <c r="D337" s="75" t="s">
        <v>25</v>
      </c>
      <c r="E337" s="75" t="s">
        <v>708</v>
      </c>
      <c r="F337" s="75" t="s">
        <v>117</v>
      </c>
      <c r="G337" s="311"/>
      <c r="H337" s="311"/>
      <c r="I337" s="320"/>
      <c r="J337" s="320"/>
      <c r="K337" s="409"/>
      <c r="L337" s="409"/>
      <c r="M337" s="323"/>
      <c r="N337" s="323"/>
      <c r="O337" s="313"/>
      <c r="P337" s="313"/>
      <c r="Q337" s="323"/>
      <c r="R337" s="323"/>
      <c r="S337" s="313"/>
      <c r="T337" s="313"/>
      <c r="U337" s="131">
        <f t="shared" si="132"/>
        <v>0</v>
      </c>
      <c r="V337" s="131">
        <f t="shared" si="133"/>
        <v>0</v>
      </c>
    </row>
    <row r="338" spans="1:22" s="80" customFormat="1" ht="47.25" x14ac:dyDescent="0.25">
      <c r="A338" s="78" t="s">
        <v>1110</v>
      </c>
      <c r="B338" s="79" t="s">
        <v>76</v>
      </c>
      <c r="C338" s="79" t="s">
        <v>14</v>
      </c>
      <c r="D338" s="79" t="s">
        <v>25</v>
      </c>
      <c r="E338" s="79" t="s">
        <v>416</v>
      </c>
      <c r="F338" s="79" t="s">
        <v>9</v>
      </c>
      <c r="G338" s="316">
        <f t="shared" ref="G338:T338" si="162">G339+G342</f>
        <v>3351</v>
      </c>
      <c r="H338" s="316">
        <f>H339+H342</f>
        <v>0</v>
      </c>
      <c r="I338" s="338">
        <f t="shared" si="162"/>
        <v>3097</v>
      </c>
      <c r="J338" s="338">
        <f>J339+J342</f>
        <v>0</v>
      </c>
      <c r="K338" s="408">
        <f t="shared" si="162"/>
        <v>0</v>
      </c>
      <c r="L338" s="408">
        <f t="shared" si="162"/>
        <v>0</v>
      </c>
      <c r="M338" s="322">
        <f t="shared" si="162"/>
        <v>0</v>
      </c>
      <c r="N338" s="322">
        <f t="shared" si="162"/>
        <v>0</v>
      </c>
      <c r="O338" s="312">
        <f t="shared" si="162"/>
        <v>0</v>
      </c>
      <c r="P338" s="312">
        <f t="shared" si="162"/>
        <v>0</v>
      </c>
      <c r="Q338" s="322">
        <f t="shared" si="162"/>
        <v>0</v>
      </c>
      <c r="R338" s="322">
        <f t="shared" si="162"/>
        <v>0</v>
      </c>
      <c r="S338" s="312">
        <f t="shared" si="162"/>
        <v>0</v>
      </c>
      <c r="T338" s="312">
        <f t="shared" si="162"/>
        <v>0</v>
      </c>
      <c r="U338" s="132">
        <f t="shared" si="132"/>
        <v>3351</v>
      </c>
      <c r="V338" s="132">
        <f t="shared" si="133"/>
        <v>3097</v>
      </c>
    </row>
    <row r="339" spans="1:22" s="77" customFormat="1" x14ac:dyDescent="0.25">
      <c r="A339" s="78" t="s">
        <v>77</v>
      </c>
      <c r="B339" s="79" t="s">
        <v>76</v>
      </c>
      <c r="C339" s="79" t="s">
        <v>14</v>
      </c>
      <c r="D339" s="79" t="s">
        <v>25</v>
      </c>
      <c r="E339" s="79" t="s">
        <v>417</v>
      </c>
      <c r="F339" s="79" t="s">
        <v>9</v>
      </c>
      <c r="G339" s="316">
        <f t="shared" ref="G339:T339" si="163">G340+G341</f>
        <v>2084</v>
      </c>
      <c r="H339" s="316">
        <f>H340+H341</f>
        <v>0</v>
      </c>
      <c r="I339" s="338">
        <f t="shared" si="163"/>
        <v>2084</v>
      </c>
      <c r="J339" s="338">
        <f>J340+J341</f>
        <v>0</v>
      </c>
      <c r="K339" s="408">
        <f t="shared" si="163"/>
        <v>0</v>
      </c>
      <c r="L339" s="408">
        <f t="shared" si="163"/>
        <v>0</v>
      </c>
      <c r="M339" s="322">
        <f t="shared" si="163"/>
        <v>0</v>
      </c>
      <c r="N339" s="322">
        <f t="shared" si="163"/>
        <v>0</v>
      </c>
      <c r="O339" s="312">
        <f t="shared" si="163"/>
        <v>0</v>
      </c>
      <c r="P339" s="312">
        <f t="shared" si="163"/>
        <v>0</v>
      </c>
      <c r="Q339" s="322">
        <f t="shared" si="163"/>
        <v>0</v>
      </c>
      <c r="R339" s="322">
        <f t="shared" si="163"/>
        <v>0</v>
      </c>
      <c r="S339" s="312">
        <f t="shared" si="163"/>
        <v>0</v>
      </c>
      <c r="T339" s="312">
        <f t="shared" si="163"/>
        <v>0</v>
      </c>
      <c r="U339" s="132">
        <f t="shared" si="132"/>
        <v>2084</v>
      </c>
      <c r="V339" s="132">
        <f t="shared" si="133"/>
        <v>2084</v>
      </c>
    </row>
    <row r="340" spans="1:22" s="80" customFormat="1" ht="63" x14ac:dyDescent="0.25">
      <c r="A340" s="74" t="s">
        <v>115</v>
      </c>
      <c r="B340" s="75" t="s">
        <v>76</v>
      </c>
      <c r="C340" s="75" t="s">
        <v>14</v>
      </c>
      <c r="D340" s="75" t="s">
        <v>25</v>
      </c>
      <c r="E340" s="75" t="s">
        <v>417</v>
      </c>
      <c r="F340" s="75" t="s">
        <v>113</v>
      </c>
      <c r="G340" s="311">
        <v>2026.47</v>
      </c>
      <c r="H340" s="311"/>
      <c r="I340" s="320">
        <v>2026.47</v>
      </c>
      <c r="J340" s="320"/>
      <c r="K340" s="409"/>
      <c r="L340" s="407"/>
      <c r="M340" s="323"/>
      <c r="N340" s="323"/>
      <c r="O340" s="313"/>
      <c r="P340" s="313"/>
      <c r="Q340" s="323"/>
      <c r="R340" s="323"/>
      <c r="S340" s="313"/>
      <c r="T340" s="313"/>
      <c r="U340" s="131">
        <f t="shared" si="132"/>
        <v>2026.47</v>
      </c>
      <c r="V340" s="131">
        <f t="shared" si="133"/>
        <v>2026.47</v>
      </c>
    </row>
    <row r="341" spans="1:22" s="80" customFormat="1" ht="31.5" x14ac:dyDescent="0.25">
      <c r="A341" s="74" t="s">
        <v>124</v>
      </c>
      <c r="B341" s="75" t="s">
        <v>76</v>
      </c>
      <c r="C341" s="75" t="s">
        <v>14</v>
      </c>
      <c r="D341" s="75" t="s">
        <v>25</v>
      </c>
      <c r="E341" s="75" t="s">
        <v>417</v>
      </c>
      <c r="F341" s="75" t="s">
        <v>117</v>
      </c>
      <c r="G341" s="311">
        <v>57.53</v>
      </c>
      <c r="H341" s="311"/>
      <c r="I341" s="320">
        <v>57.53</v>
      </c>
      <c r="J341" s="320"/>
      <c r="K341" s="409"/>
      <c r="L341" s="409"/>
      <c r="M341" s="323"/>
      <c r="N341" s="323"/>
      <c r="O341" s="313"/>
      <c r="P341" s="313"/>
      <c r="Q341" s="323"/>
      <c r="R341" s="323"/>
      <c r="S341" s="313"/>
      <c r="T341" s="313"/>
      <c r="U341" s="131">
        <f t="shared" si="132"/>
        <v>57.53</v>
      </c>
      <c r="V341" s="131">
        <f t="shared" si="133"/>
        <v>57.53</v>
      </c>
    </row>
    <row r="342" spans="1:22" s="77" customFormat="1" ht="78.75" x14ac:dyDescent="0.25">
      <c r="A342" s="78" t="s">
        <v>1111</v>
      </c>
      <c r="B342" s="79" t="s">
        <v>76</v>
      </c>
      <c r="C342" s="79" t="s">
        <v>14</v>
      </c>
      <c r="D342" s="79" t="s">
        <v>25</v>
      </c>
      <c r="E342" s="79" t="s">
        <v>418</v>
      </c>
      <c r="F342" s="79" t="s">
        <v>9</v>
      </c>
      <c r="G342" s="316">
        <f t="shared" ref="G342:T342" si="164">G343+G344</f>
        <v>1267</v>
      </c>
      <c r="H342" s="316">
        <f t="shared" si="164"/>
        <v>0</v>
      </c>
      <c r="I342" s="338">
        <f t="shared" si="164"/>
        <v>1013</v>
      </c>
      <c r="J342" s="338">
        <f t="shared" si="164"/>
        <v>0</v>
      </c>
      <c r="K342" s="408">
        <f t="shared" si="164"/>
        <v>0</v>
      </c>
      <c r="L342" s="408">
        <f t="shared" si="164"/>
        <v>0</v>
      </c>
      <c r="M342" s="322">
        <f t="shared" si="164"/>
        <v>0</v>
      </c>
      <c r="N342" s="322">
        <f t="shared" si="164"/>
        <v>0</v>
      </c>
      <c r="O342" s="312">
        <f t="shared" si="164"/>
        <v>0</v>
      </c>
      <c r="P342" s="312">
        <f t="shared" si="164"/>
        <v>0</v>
      </c>
      <c r="Q342" s="322">
        <f t="shared" si="164"/>
        <v>0</v>
      </c>
      <c r="R342" s="322">
        <f t="shared" si="164"/>
        <v>0</v>
      </c>
      <c r="S342" s="312">
        <f t="shared" si="164"/>
        <v>0</v>
      </c>
      <c r="T342" s="312">
        <f t="shared" si="164"/>
        <v>0</v>
      </c>
      <c r="U342" s="132">
        <f t="shared" si="132"/>
        <v>1267</v>
      </c>
      <c r="V342" s="132">
        <f t="shared" si="133"/>
        <v>1013</v>
      </c>
    </row>
    <row r="343" spans="1:22" s="77" customFormat="1" ht="63" x14ac:dyDescent="0.25">
      <c r="A343" s="74" t="s">
        <v>115</v>
      </c>
      <c r="B343" s="75" t="s">
        <v>76</v>
      </c>
      <c r="C343" s="75" t="s">
        <v>14</v>
      </c>
      <c r="D343" s="75" t="s">
        <v>25</v>
      </c>
      <c r="E343" s="75" t="s">
        <v>418</v>
      </c>
      <c r="F343" s="75" t="s">
        <v>113</v>
      </c>
      <c r="G343" s="311">
        <v>1267</v>
      </c>
      <c r="H343" s="311"/>
      <c r="I343" s="320">
        <v>1013</v>
      </c>
      <c r="J343" s="320"/>
      <c r="K343" s="409"/>
      <c r="L343" s="409"/>
      <c r="M343" s="323"/>
      <c r="N343" s="323"/>
      <c r="O343" s="313"/>
      <c r="P343" s="313"/>
      <c r="Q343" s="323"/>
      <c r="R343" s="323"/>
      <c r="S343" s="313"/>
      <c r="T343" s="313"/>
      <c r="U343" s="131">
        <f t="shared" si="132"/>
        <v>1267</v>
      </c>
      <c r="V343" s="131">
        <f t="shared" si="133"/>
        <v>1013</v>
      </c>
    </row>
    <row r="344" spans="1:22" s="80" customFormat="1" ht="31.5" customHeight="1" outlineLevel="1" x14ac:dyDescent="0.25">
      <c r="A344" s="74" t="s">
        <v>124</v>
      </c>
      <c r="B344" s="75" t="s">
        <v>76</v>
      </c>
      <c r="C344" s="75" t="s">
        <v>14</v>
      </c>
      <c r="D344" s="75" t="s">
        <v>25</v>
      </c>
      <c r="E344" s="75" t="s">
        <v>418</v>
      </c>
      <c r="F344" s="75" t="s">
        <v>117</v>
      </c>
      <c r="G344" s="311"/>
      <c r="H344" s="311"/>
      <c r="I344" s="320"/>
      <c r="J344" s="320"/>
      <c r="K344" s="409"/>
      <c r="L344" s="409"/>
      <c r="M344" s="323"/>
      <c r="N344" s="323"/>
      <c r="O344" s="313"/>
      <c r="P344" s="313"/>
      <c r="Q344" s="323"/>
      <c r="R344" s="323"/>
      <c r="S344" s="313"/>
      <c r="T344" s="313"/>
      <c r="U344" s="131">
        <f t="shared" si="132"/>
        <v>0</v>
      </c>
      <c r="V344" s="131">
        <f t="shared" si="133"/>
        <v>0</v>
      </c>
    </row>
    <row r="345" spans="1:22" s="77" customFormat="1" x14ac:dyDescent="0.25">
      <c r="A345" s="78" t="s">
        <v>127</v>
      </c>
      <c r="B345" s="79" t="s">
        <v>76</v>
      </c>
      <c r="C345" s="79" t="s">
        <v>14</v>
      </c>
      <c r="D345" s="79" t="s">
        <v>25</v>
      </c>
      <c r="E345" s="79" t="s">
        <v>419</v>
      </c>
      <c r="F345" s="79" t="s">
        <v>9</v>
      </c>
      <c r="G345" s="316">
        <f t="shared" ref="G345:T346" si="165">G346</f>
        <v>0</v>
      </c>
      <c r="H345" s="316">
        <f t="shared" si="165"/>
        <v>2300</v>
      </c>
      <c r="I345" s="338">
        <f t="shared" si="165"/>
        <v>0</v>
      </c>
      <c r="J345" s="338">
        <f t="shared" si="165"/>
        <v>2300</v>
      </c>
      <c r="K345" s="408">
        <f t="shared" si="165"/>
        <v>0</v>
      </c>
      <c r="L345" s="408">
        <f t="shared" si="165"/>
        <v>0</v>
      </c>
      <c r="M345" s="322">
        <f t="shared" si="165"/>
        <v>0</v>
      </c>
      <c r="N345" s="322">
        <f t="shared" si="165"/>
        <v>0</v>
      </c>
      <c r="O345" s="312">
        <f t="shared" si="165"/>
        <v>0</v>
      </c>
      <c r="P345" s="312">
        <f t="shared" si="165"/>
        <v>0</v>
      </c>
      <c r="Q345" s="322">
        <f t="shared" si="165"/>
        <v>0</v>
      </c>
      <c r="R345" s="322">
        <f t="shared" si="165"/>
        <v>0</v>
      </c>
      <c r="S345" s="312">
        <f t="shared" si="165"/>
        <v>0</v>
      </c>
      <c r="T345" s="312">
        <f t="shared" si="165"/>
        <v>0</v>
      </c>
      <c r="U345" s="132">
        <f t="shared" si="132"/>
        <v>2300</v>
      </c>
      <c r="V345" s="132">
        <f t="shared" si="133"/>
        <v>2300</v>
      </c>
    </row>
    <row r="346" spans="1:22" s="80" customFormat="1" ht="31.5" x14ac:dyDescent="0.25">
      <c r="A346" s="78" t="s">
        <v>16</v>
      </c>
      <c r="B346" s="79" t="s">
        <v>76</v>
      </c>
      <c r="C346" s="79" t="s">
        <v>14</v>
      </c>
      <c r="D346" s="79" t="s">
        <v>25</v>
      </c>
      <c r="E346" s="79" t="s">
        <v>420</v>
      </c>
      <c r="F346" s="79" t="s">
        <v>9</v>
      </c>
      <c r="G346" s="316">
        <f t="shared" si="165"/>
        <v>0</v>
      </c>
      <c r="H346" s="316">
        <f t="shared" si="165"/>
        <v>2300</v>
      </c>
      <c r="I346" s="338">
        <f t="shared" si="165"/>
        <v>0</v>
      </c>
      <c r="J346" s="338">
        <f t="shared" si="165"/>
        <v>2300</v>
      </c>
      <c r="K346" s="408">
        <f t="shared" si="165"/>
        <v>0</v>
      </c>
      <c r="L346" s="408">
        <f t="shared" si="165"/>
        <v>0</v>
      </c>
      <c r="M346" s="322">
        <f t="shared" si="165"/>
        <v>0</v>
      </c>
      <c r="N346" s="322">
        <f t="shared" si="165"/>
        <v>0</v>
      </c>
      <c r="O346" s="312">
        <f t="shared" si="165"/>
        <v>0</v>
      </c>
      <c r="P346" s="312">
        <f t="shared" si="165"/>
        <v>0</v>
      </c>
      <c r="Q346" s="322">
        <f t="shared" si="165"/>
        <v>0</v>
      </c>
      <c r="R346" s="322">
        <f t="shared" si="165"/>
        <v>0</v>
      </c>
      <c r="S346" s="312">
        <f t="shared" si="165"/>
        <v>0</v>
      </c>
      <c r="T346" s="312">
        <f t="shared" si="165"/>
        <v>0</v>
      </c>
      <c r="U346" s="132">
        <f t="shared" si="132"/>
        <v>2300</v>
      </c>
      <c r="V346" s="132">
        <f t="shared" si="133"/>
        <v>2300</v>
      </c>
    </row>
    <row r="347" spans="1:22" s="77" customFormat="1" ht="63" x14ac:dyDescent="0.25">
      <c r="A347" s="74" t="s">
        <v>115</v>
      </c>
      <c r="B347" s="75" t="s">
        <v>76</v>
      </c>
      <c r="C347" s="75" t="s">
        <v>14</v>
      </c>
      <c r="D347" s="75" t="s">
        <v>25</v>
      </c>
      <c r="E347" s="75" t="s">
        <v>420</v>
      </c>
      <c r="F347" s="75" t="s">
        <v>113</v>
      </c>
      <c r="G347" s="311"/>
      <c r="H347" s="311">
        <v>2300</v>
      </c>
      <c r="I347" s="320"/>
      <c r="J347" s="320">
        <v>2300</v>
      </c>
      <c r="K347" s="409"/>
      <c r="L347" s="409"/>
      <c r="M347" s="323"/>
      <c r="N347" s="323"/>
      <c r="O347" s="313"/>
      <c r="P347" s="313"/>
      <c r="Q347" s="323"/>
      <c r="R347" s="323"/>
      <c r="S347" s="313"/>
      <c r="T347" s="313"/>
      <c r="U347" s="131">
        <f t="shared" si="132"/>
        <v>2300</v>
      </c>
      <c r="V347" s="131">
        <f t="shared" si="133"/>
        <v>2300</v>
      </c>
    </row>
    <row r="348" spans="1:22" s="80" customFormat="1" ht="31.5" x14ac:dyDescent="0.25">
      <c r="A348" s="78" t="s">
        <v>568</v>
      </c>
      <c r="B348" s="79" t="s">
        <v>76</v>
      </c>
      <c r="C348" s="79" t="s">
        <v>14</v>
      </c>
      <c r="D348" s="79" t="s">
        <v>25</v>
      </c>
      <c r="E348" s="79" t="s">
        <v>421</v>
      </c>
      <c r="F348" s="79" t="s">
        <v>9</v>
      </c>
      <c r="G348" s="316">
        <f t="shared" ref="G348:T348" si="166">G349</f>
        <v>0</v>
      </c>
      <c r="H348" s="316">
        <f t="shared" si="166"/>
        <v>22003.360000000001</v>
      </c>
      <c r="I348" s="338">
        <f t="shared" si="166"/>
        <v>0</v>
      </c>
      <c r="J348" s="338">
        <f t="shared" si="166"/>
        <v>22003.360000000001</v>
      </c>
      <c r="K348" s="408">
        <f t="shared" si="166"/>
        <v>0</v>
      </c>
      <c r="L348" s="408">
        <f t="shared" si="166"/>
        <v>0</v>
      </c>
      <c r="M348" s="322">
        <f t="shared" si="166"/>
        <v>0</v>
      </c>
      <c r="N348" s="322">
        <f t="shared" si="166"/>
        <v>0</v>
      </c>
      <c r="O348" s="312">
        <f t="shared" si="166"/>
        <v>0</v>
      </c>
      <c r="P348" s="312">
        <f t="shared" si="166"/>
        <v>0</v>
      </c>
      <c r="Q348" s="322">
        <f t="shared" si="166"/>
        <v>0</v>
      </c>
      <c r="R348" s="322">
        <f t="shared" si="166"/>
        <v>0</v>
      </c>
      <c r="S348" s="312">
        <f t="shared" si="166"/>
        <v>0</v>
      </c>
      <c r="T348" s="312">
        <f t="shared" si="166"/>
        <v>0</v>
      </c>
      <c r="U348" s="132">
        <f t="shared" si="132"/>
        <v>22003.360000000001</v>
      </c>
      <c r="V348" s="132">
        <f t="shared" si="133"/>
        <v>22003.360000000001</v>
      </c>
    </row>
    <row r="349" spans="1:22" s="80" customFormat="1" x14ac:dyDescent="0.25">
      <c r="A349" s="78" t="s">
        <v>26</v>
      </c>
      <c r="B349" s="79" t="s">
        <v>76</v>
      </c>
      <c r="C349" s="79" t="s">
        <v>14</v>
      </c>
      <c r="D349" s="79" t="s">
        <v>25</v>
      </c>
      <c r="E349" s="79" t="s">
        <v>422</v>
      </c>
      <c r="F349" s="79" t="s">
        <v>9</v>
      </c>
      <c r="G349" s="316">
        <f t="shared" ref="G349:T349" si="167">G350+G351+G352</f>
        <v>0</v>
      </c>
      <c r="H349" s="316">
        <f>H350+H351+H352</f>
        <v>22003.360000000001</v>
      </c>
      <c r="I349" s="338">
        <f t="shared" si="167"/>
        <v>0</v>
      </c>
      <c r="J349" s="338">
        <f>J350+J351+J352</f>
        <v>22003.360000000001</v>
      </c>
      <c r="K349" s="408">
        <f t="shared" si="167"/>
        <v>0</v>
      </c>
      <c r="L349" s="408">
        <f t="shared" si="167"/>
        <v>0</v>
      </c>
      <c r="M349" s="322">
        <f t="shared" si="167"/>
        <v>0</v>
      </c>
      <c r="N349" s="322">
        <f t="shared" si="167"/>
        <v>0</v>
      </c>
      <c r="O349" s="312">
        <f t="shared" si="167"/>
        <v>0</v>
      </c>
      <c r="P349" s="312">
        <f t="shared" si="167"/>
        <v>0</v>
      </c>
      <c r="Q349" s="322">
        <f t="shared" si="167"/>
        <v>0</v>
      </c>
      <c r="R349" s="322">
        <f t="shared" si="167"/>
        <v>0</v>
      </c>
      <c r="S349" s="312">
        <f t="shared" si="167"/>
        <v>0</v>
      </c>
      <c r="T349" s="312">
        <f t="shared" si="167"/>
        <v>0</v>
      </c>
      <c r="U349" s="132">
        <f t="shared" ref="U349:U422" si="168">G349+K349+M349+O349+Q349+S349+H349</f>
        <v>22003.360000000001</v>
      </c>
      <c r="V349" s="132">
        <f t="shared" ref="V349:V422" si="169">I349+L349+N349+P349+R349+T349+J349</f>
        <v>22003.360000000001</v>
      </c>
    </row>
    <row r="350" spans="1:22" s="80" customFormat="1" ht="63" x14ac:dyDescent="0.25">
      <c r="A350" s="74" t="s">
        <v>115</v>
      </c>
      <c r="B350" s="75" t="s">
        <v>76</v>
      </c>
      <c r="C350" s="75" t="s">
        <v>14</v>
      </c>
      <c r="D350" s="75" t="s">
        <v>25</v>
      </c>
      <c r="E350" s="75" t="s">
        <v>422</v>
      </c>
      <c r="F350" s="75" t="s">
        <v>113</v>
      </c>
      <c r="G350" s="311"/>
      <c r="H350" s="311">
        <v>22003.360000000001</v>
      </c>
      <c r="I350" s="320"/>
      <c r="J350" s="320">
        <v>22003.360000000001</v>
      </c>
      <c r="K350" s="409"/>
      <c r="L350" s="409"/>
      <c r="M350" s="323"/>
      <c r="N350" s="323"/>
      <c r="O350" s="313"/>
      <c r="P350" s="313"/>
      <c r="Q350" s="323"/>
      <c r="R350" s="323"/>
      <c r="S350" s="313"/>
      <c r="T350" s="313"/>
      <c r="U350" s="131">
        <f t="shared" si="168"/>
        <v>22003.360000000001</v>
      </c>
      <c r="V350" s="131">
        <f t="shared" si="169"/>
        <v>22003.360000000001</v>
      </c>
    </row>
    <row r="351" spans="1:22" s="77" customFormat="1" ht="31.5" customHeight="1" outlineLevel="1" x14ac:dyDescent="0.25">
      <c r="A351" s="74" t="s">
        <v>124</v>
      </c>
      <c r="B351" s="75" t="s">
        <v>76</v>
      </c>
      <c r="C351" s="75" t="s">
        <v>14</v>
      </c>
      <c r="D351" s="75" t="s">
        <v>25</v>
      </c>
      <c r="E351" s="75" t="s">
        <v>422</v>
      </c>
      <c r="F351" s="75" t="s">
        <v>117</v>
      </c>
      <c r="G351" s="311"/>
      <c r="H351" s="311"/>
      <c r="I351" s="320"/>
      <c r="J351" s="320"/>
      <c r="K351" s="409"/>
      <c r="L351" s="409"/>
      <c r="M351" s="323"/>
      <c r="N351" s="323"/>
      <c r="O351" s="313"/>
      <c r="P351" s="313"/>
      <c r="Q351" s="323"/>
      <c r="R351" s="323"/>
      <c r="S351" s="313"/>
      <c r="T351" s="313"/>
      <c r="U351" s="131">
        <f t="shared" si="168"/>
        <v>0</v>
      </c>
      <c r="V351" s="131">
        <f t="shared" si="169"/>
        <v>0</v>
      </c>
    </row>
    <row r="352" spans="1:22" s="77" customFormat="1" ht="15.75" customHeight="1" outlineLevel="1" x14ac:dyDescent="0.25">
      <c r="A352" s="74" t="s">
        <v>125</v>
      </c>
      <c r="B352" s="75" t="s">
        <v>76</v>
      </c>
      <c r="C352" s="75" t="s">
        <v>14</v>
      </c>
      <c r="D352" s="75" t="s">
        <v>25</v>
      </c>
      <c r="E352" s="75" t="s">
        <v>422</v>
      </c>
      <c r="F352" s="75" t="s">
        <v>118</v>
      </c>
      <c r="G352" s="311"/>
      <c r="H352" s="311"/>
      <c r="I352" s="320"/>
      <c r="J352" s="320"/>
      <c r="K352" s="409"/>
      <c r="L352" s="409"/>
      <c r="M352" s="323"/>
      <c r="N352" s="323"/>
      <c r="O352" s="313"/>
      <c r="P352" s="313"/>
      <c r="Q352" s="323"/>
      <c r="R352" s="323"/>
      <c r="S352" s="313"/>
      <c r="T352" s="313"/>
      <c r="U352" s="131">
        <f t="shared" si="168"/>
        <v>0</v>
      </c>
      <c r="V352" s="131">
        <f t="shared" si="169"/>
        <v>0</v>
      </c>
    </row>
    <row r="353" spans="1:22" s="77" customFormat="1" ht="27.75" customHeight="1" outlineLevel="1" x14ac:dyDescent="0.25">
      <c r="A353" s="78" t="s">
        <v>569</v>
      </c>
      <c r="B353" s="79" t="s">
        <v>76</v>
      </c>
      <c r="C353" s="79" t="s">
        <v>14</v>
      </c>
      <c r="D353" s="79" t="s">
        <v>25</v>
      </c>
      <c r="E353" s="79" t="s">
        <v>423</v>
      </c>
      <c r="F353" s="79" t="s">
        <v>9</v>
      </c>
      <c r="G353" s="316">
        <f t="shared" ref="G353:T353" si="170">G354</f>
        <v>0</v>
      </c>
      <c r="H353" s="316">
        <f t="shared" si="170"/>
        <v>0</v>
      </c>
      <c r="I353" s="338">
        <f t="shared" si="170"/>
        <v>0</v>
      </c>
      <c r="J353" s="338">
        <f t="shared" si="170"/>
        <v>0</v>
      </c>
      <c r="K353" s="408">
        <f t="shared" si="170"/>
        <v>0</v>
      </c>
      <c r="L353" s="408">
        <f t="shared" si="170"/>
        <v>0</v>
      </c>
      <c r="M353" s="322">
        <f t="shared" si="170"/>
        <v>0</v>
      </c>
      <c r="N353" s="322">
        <f t="shared" si="170"/>
        <v>0</v>
      </c>
      <c r="O353" s="312">
        <f t="shared" si="170"/>
        <v>0</v>
      </c>
      <c r="P353" s="312">
        <f t="shared" si="170"/>
        <v>0</v>
      </c>
      <c r="Q353" s="322">
        <f t="shared" si="170"/>
        <v>0</v>
      </c>
      <c r="R353" s="322">
        <f t="shared" si="170"/>
        <v>0</v>
      </c>
      <c r="S353" s="312">
        <f t="shared" si="170"/>
        <v>0</v>
      </c>
      <c r="T353" s="312">
        <f t="shared" si="170"/>
        <v>0</v>
      </c>
      <c r="U353" s="132">
        <f t="shared" si="168"/>
        <v>0</v>
      </c>
      <c r="V353" s="132">
        <f t="shared" si="169"/>
        <v>0</v>
      </c>
    </row>
    <row r="354" spans="1:22" s="77" customFormat="1" ht="31.5" customHeight="1" outlineLevel="1" x14ac:dyDescent="0.25">
      <c r="A354" s="74" t="s">
        <v>124</v>
      </c>
      <c r="B354" s="75" t="s">
        <v>76</v>
      </c>
      <c r="C354" s="75" t="s">
        <v>14</v>
      </c>
      <c r="D354" s="75" t="s">
        <v>25</v>
      </c>
      <c r="E354" s="75" t="s">
        <v>423</v>
      </c>
      <c r="F354" s="75" t="s">
        <v>117</v>
      </c>
      <c r="G354" s="311"/>
      <c r="H354" s="311"/>
      <c r="I354" s="320"/>
      <c r="J354" s="320"/>
      <c r="K354" s="409"/>
      <c r="L354" s="409"/>
      <c r="M354" s="323"/>
      <c r="N354" s="323"/>
      <c r="O354" s="313"/>
      <c r="P354" s="313"/>
      <c r="Q354" s="323"/>
      <c r="R354" s="323"/>
      <c r="S354" s="313"/>
      <c r="T354" s="313"/>
      <c r="U354" s="131">
        <f t="shared" si="168"/>
        <v>0</v>
      </c>
      <c r="V354" s="131">
        <f t="shared" si="169"/>
        <v>0</v>
      </c>
    </row>
    <row r="355" spans="1:22" s="77" customFormat="1" ht="31.5" customHeight="1" outlineLevel="1" x14ac:dyDescent="0.25">
      <c r="A355" s="78" t="s">
        <v>570</v>
      </c>
      <c r="B355" s="79" t="s">
        <v>76</v>
      </c>
      <c r="C355" s="79" t="s">
        <v>14</v>
      </c>
      <c r="D355" s="79" t="s">
        <v>25</v>
      </c>
      <c r="E355" s="79" t="s">
        <v>424</v>
      </c>
      <c r="F355" s="79" t="s">
        <v>9</v>
      </c>
      <c r="G355" s="316">
        <f t="shared" ref="G355:T355" si="171">G356</f>
        <v>0</v>
      </c>
      <c r="H355" s="316">
        <f t="shared" si="171"/>
        <v>0</v>
      </c>
      <c r="I355" s="338">
        <f t="shared" si="171"/>
        <v>0</v>
      </c>
      <c r="J355" s="338">
        <f t="shared" si="171"/>
        <v>0</v>
      </c>
      <c r="K355" s="408">
        <f t="shared" si="171"/>
        <v>0</v>
      </c>
      <c r="L355" s="408">
        <f t="shared" si="171"/>
        <v>0</v>
      </c>
      <c r="M355" s="322">
        <f t="shared" si="171"/>
        <v>0</v>
      </c>
      <c r="N355" s="322">
        <f t="shared" si="171"/>
        <v>0</v>
      </c>
      <c r="O355" s="312">
        <f t="shared" si="171"/>
        <v>0</v>
      </c>
      <c r="P355" s="312">
        <f t="shared" si="171"/>
        <v>0</v>
      </c>
      <c r="Q355" s="322">
        <f t="shared" si="171"/>
        <v>0</v>
      </c>
      <c r="R355" s="322">
        <f t="shared" si="171"/>
        <v>0</v>
      </c>
      <c r="S355" s="312">
        <f t="shared" si="171"/>
        <v>0</v>
      </c>
      <c r="T355" s="312">
        <f t="shared" si="171"/>
        <v>0</v>
      </c>
      <c r="U355" s="132">
        <f t="shared" si="168"/>
        <v>0</v>
      </c>
      <c r="V355" s="132">
        <f t="shared" si="169"/>
        <v>0</v>
      </c>
    </row>
    <row r="356" spans="1:22" s="77" customFormat="1" ht="31.5" customHeight="1" outlineLevel="1" x14ac:dyDescent="0.25">
      <c r="A356" s="74" t="s">
        <v>124</v>
      </c>
      <c r="B356" s="75" t="s">
        <v>76</v>
      </c>
      <c r="C356" s="75" t="s">
        <v>14</v>
      </c>
      <c r="D356" s="75" t="s">
        <v>25</v>
      </c>
      <c r="E356" s="75" t="s">
        <v>424</v>
      </c>
      <c r="F356" s="75" t="s">
        <v>117</v>
      </c>
      <c r="G356" s="311"/>
      <c r="H356" s="311"/>
      <c r="I356" s="320"/>
      <c r="J356" s="320"/>
      <c r="K356" s="409"/>
      <c r="L356" s="409"/>
      <c r="M356" s="323"/>
      <c r="N356" s="323"/>
      <c r="O356" s="313"/>
      <c r="P356" s="313"/>
      <c r="Q356" s="323"/>
      <c r="R356" s="323"/>
      <c r="S356" s="313"/>
      <c r="T356" s="313"/>
      <c r="U356" s="131">
        <f t="shared" si="168"/>
        <v>0</v>
      </c>
      <c r="V356" s="131">
        <f t="shared" si="169"/>
        <v>0</v>
      </c>
    </row>
    <row r="357" spans="1:22" s="80" customFormat="1" x14ac:dyDescent="0.25">
      <c r="A357" s="78" t="s">
        <v>656</v>
      </c>
      <c r="B357" s="79" t="s">
        <v>76</v>
      </c>
      <c r="C357" s="79" t="s">
        <v>14</v>
      </c>
      <c r="D357" s="79" t="s">
        <v>58</v>
      </c>
      <c r="E357" s="79" t="s">
        <v>365</v>
      </c>
      <c r="F357" s="79" t="s">
        <v>9</v>
      </c>
      <c r="G357" s="316">
        <f t="shared" ref="G357:T359" si="172">G358</f>
        <v>1.3</v>
      </c>
      <c r="H357" s="316">
        <f t="shared" si="172"/>
        <v>0</v>
      </c>
      <c r="I357" s="338">
        <f t="shared" si="172"/>
        <v>1.1000000000000001</v>
      </c>
      <c r="J357" s="338">
        <f t="shared" si="172"/>
        <v>0</v>
      </c>
      <c r="K357" s="408">
        <f t="shared" si="172"/>
        <v>0</v>
      </c>
      <c r="L357" s="408">
        <f t="shared" si="172"/>
        <v>0</v>
      </c>
      <c r="M357" s="322">
        <f t="shared" si="172"/>
        <v>0</v>
      </c>
      <c r="N357" s="322">
        <f t="shared" si="172"/>
        <v>0</v>
      </c>
      <c r="O357" s="312">
        <f t="shared" si="172"/>
        <v>0</v>
      </c>
      <c r="P357" s="312">
        <f t="shared" si="172"/>
        <v>0</v>
      </c>
      <c r="Q357" s="322">
        <f t="shared" si="172"/>
        <v>0</v>
      </c>
      <c r="R357" s="322">
        <f t="shared" si="172"/>
        <v>0</v>
      </c>
      <c r="S357" s="312">
        <f t="shared" si="172"/>
        <v>0</v>
      </c>
      <c r="T357" s="312">
        <f t="shared" si="172"/>
        <v>0</v>
      </c>
      <c r="U357" s="132">
        <f t="shared" si="168"/>
        <v>1.3</v>
      </c>
      <c r="V357" s="132">
        <f t="shared" si="169"/>
        <v>1.1000000000000001</v>
      </c>
    </row>
    <row r="358" spans="1:22" s="80" customFormat="1" ht="31.5" x14ac:dyDescent="0.25">
      <c r="A358" s="78" t="s">
        <v>784</v>
      </c>
      <c r="B358" s="79" t="s">
        <v>76</v>
      </c>
      <c r="C358" s="79" t="s">
        <v>14</v>
      </c>
      <c r="D358" s="79" t="s">
        <v>58</v>
      </c>
      <c r="E358" s="79" t="s">
        <v>380</v>
      </c>
      <c r="F358" s="79" t="s">
        <v>9</v>
      </c>
      <c r="G358" s="316">
        <f t="shared" si="172"/>
        <v>1.3</v>
      </c>
      <c r="H358" s="316">
        <f t="shared" si="172"/>
        <v>0</v>
      </c>
      <c r="I358" s="338">
        <f t="shared" si="172"/>
        <v>1.1000000000000001</v>
      </c>
      <c r="J358" s="338">
        <f t="shared" si="172"/>
        <v>0</v>
      </c>
      <c r="K358" s="408">
        <f t="shared" si="172"/>
        <v>0</v>
      </c>
      <c r="L358" s="408">
        <f t="shared" si="172"/>
        <v>0</v>
      </c>
      <c r="M358" s="322">
        <f t="shared" si="172"/>
        <v>0</v>
      </c>
      <c r="N358" s="322">
        <f t="shared" si="172"/>
        <v>0</v>
      </c>
      <c r="O358" s="312">
        <f t="shared" si="172"/>
        <v>0</v>
      </c>
      <c r="P358" s="312">
        <f t="shared" si="172"/>
        <v>0</v>
      </c>
      <c r="Q358" s="322">
        <f t="shared" si="172"/>
        <v>0</v>
      </c>
      <c r="R358" s="322">
        <f t="shared" si="172"/>
        <v>0</v>
      </c>
      <c r="S358" s="312">
        <f t="shared" si="172"/>
        <v>0</v>
      </c>
      <c r="T358" s="312">
        <f t="shared" si="172"/>
        <v>0</v>
      </c>
      <c r="U358" s="132">
        <f t="shared" si="168"/>
        <v>1.3</v>
      </c>
      <c r="V358" s="132">
        <f t="shared" si="169"/>
        <v>1.1000000000000001</v>
      </c>
    </row>
    <row r="359" spans="1:22" s="80" customFormat="1" ht="63" x14ac:dyDescent="0.25">
      <c r="A359" s="78" t="s">
        <v>655</v>
      </c>
      <c r="B359" s="79" t="s">
        <v>76</v>
      </c>
      <c r="C359" s="79" t="s">
        <v>14</v>
      </c>
      <c r="D359" s="79" t="s">
        <v>58</v>
      </c>
      <c r="E359" s="79" t="s">
        <v>654</v>
      </c>
      <c r="F359" s="79" t="s">
        <v>9</v>
      </c>
      <c r="G359" s="316">
        <f t="shared" si="172"/>
        <v>1.3</v>
      </c>
      <c r="H359" s="316">
        <f t="shared" si="172"/>
        <v>0</v>
      </c>
      <c r="I359" s="338">
        <f t="shared" si="172"/>
        <v>1.1000000000000001</v>
      </c>
      <c r="J359" s="338">
        <f t="shared" si="172"/>
        <v>0</v>
      </c>
      <c r="K359" s="408">
        <f t="shared" si="172"/>
        <v>0</v>
      </c>
      <c r="L359" s="408">
        <f t="shared" si="172"/>
        <v>0</v>
      </c>
      <c r="M359" s="322">
        <f t="shared" si="172"/>
        <v>0</v>
      </c>
      <c r="N359" s="322">
        <f t="shared" si="172"/>
        <v>0</v>
      </c>
      <c r="O359" s="312">
        <f t="shared" si="172"/>
        <v>0</v>
      </c>
      <c r="P359" s="312">
        <f t="shared" si="172"/>
        <v>0</v>
      </c>
      <c r="Q359" s="322">
        <f t="shared" si="172"/>
        <v>0</v>
      </c>
      <c r="R359" s="322">
        <f t="shared" si="172"/>
        <v>0</v>
      </c>
      <c r="S359" s="312">
        <f t="shared" si="172"/>
        <v>0</v>
      </c>
      <c r="T359" s="312">
        <f t="shared" si="172"/>
        <v>0</v>
      </c>
      <c r="U359" s="132">
        <f t="shared" si="168"/>
        <v>1.3</v>
      </c>
      <c r="V359" s="132">
        <f t="shared" si="169"/>
        <v>1.1000000000000001</v>
      </c>
    </row>
    <row r="360" spans="1:22" s="77" customFormat="1" ht="31.5" x14ac:dyDescent="0.25">
      <c r="A360" s="74" t="s">
        <v>124</v>
      </c>
      <c r="B360" s="75" t="s">
        <v>76</v>
      </c>
      <c r="C360" s="75" t="s">
        <v>14</v>
      </c>
      <c r="D360" s="75" t="s">
        <v>58</v>
      </c>
      <c r="E360" s="75" t="s">
        <v>654</v>
      </c>
      <c r="F360" s="75" t="s">
        <v>117</v>
      </c>
      <c r="G360" s="311">
        <v>1.3</v>
      </c>
      <c r="H360" s="311"/>
      <c r="I360" s="320">
        <v>1.1000000000000001</v>
      </c>
      <c r="J360" s="320"/>
      <c r="K360" s="409"/>
      <c r="L360" s="409"/>
      <c r="M360" s="323"/>
      <c r="N360" s="323"/>
      <c r="O360" s="313"/>
      <c r="P360" s="313"/>
      <c r="Q360" s="323"/>
      <c r="R360" s="323"/>
      <c r="S360" s="313"/>
      <c r="T360" s="313"/>
      <c r="U360" s="131">
        <f t="shared" si="168"/>
        <v>1.3</v>
      </c>
      <c r="V360" s="131">
        <f t="shared" si="169"/>
        <v>1.1000000000000001</v>
      </c>
    </row>
    <row r="361" spans="1:22" s="80" customFormat="1" ht="15.75" customHeight="1" outlineLevel="1" x14ac:dyDescent="0.25">
      <c r="A361" s="78" t="s">
        <v>863</v>
      </c>
      <c r="B361" s="79" t="s">
        <v>76</v>
      </c>
      <c r="C361" s="79" t="s">
        <v>14</v>
      </c>
      <c r="D361" s="79" t="s">
        <v>31</v>
      </c>
      <c r="E361" s="79" t="s">
        <v>365</v>
      </c>
      <c r="F361" s="79" t="s">
        <v>9</v>
      </c>
      <c r="G361" s="316">
        <f t="shared" ref="G361:T363" si="173">G362</f>
        <v>0</v>
      </c>
      <c r="H361" s="316">
        <f t="shared" si="173"/>
        <v>0</v>
      </c>
      <c r="I361" s="338">
        <f t="shared" si="173"/>
        <v>0</v>
      </c>
      <c r="J361" s="338">
        <f t="shared" si="173"/>
        <v>0</v>
      </c>
      <c r="K361" s="408">
        <f t="shared" si="173"/>
        <v>0</v>
      </c>
      <c r="L361" s="408">
        <f t="shared" si="173"/>
        <v>0</v>
      </c>
      <c r="M361" s="322">
        <f t="shared" si="173"/>
        <v>0</v>
      </c>
      <c r="N361" s="322">
        <f t="shared" si="173"/>
        <v>0</v>
      </c>
      <c r="O361" s="312">
        <f t="shared" si="173"/>
        <v>0</v>
      </c>
      <c r="P361" s="312">
        <f t="shared" si="173"/>
        <v>0</v>
      </c>
      <c r="Q361" s="322">
        <f t="shared" si="173"/>
        <v>0</v>
      </c>
      <c r="R361" s="322">
        <f t="shared" si="173"/>
        <v>0</v>
      </c>
      <c r="S361" s="312">
        <f t="shared" si="173"/>
        <v>0</v>
      </c>
      <c r="T361" s="312">
        <f t="shared" si="173"/>
        <v>0</v>
      </c>
      <c r="U361" s="132">
        <f t="shared" si="168"/>
        <v>0</v>
      </c>
      <c r="V361" s="132">
        <f t="shared" si="169"/>
        <v>0</v>
      </c>
    </row>
    <row r="362" spans="1:22" s="80" customFormat="1" ht="31.5" customHeight="1" outlineLevel="1" x14ac:dyDescent="0.25">
      <c r="A362" s="78" t="s">
        <v>784</v>
      </c>
      <c r="B362" s="79" t="s">
        <v>76</v>
      </c>
      <c r="C362" s="79" t="s">
        <v>14</v>
      </c>
      <c r="D362" s="79" t="s">
        <v>31</v>
      </c>
      <c r="E362" s="79" t="s">
        <v>380</v>
      </c>
      <c r="F362" s="79" t="s">
        <v>9</v>
      </c>
      <c r="G362" s="316">
        <f t="shared" si="173"/>
        <v>0</v>
      </c>
      <c r="H362" s="316">
        <f t="shared" si="173"/>
        <v>0</v>
      </c>
      <c r="I362" s="338">
        <f t="shared" si="173"/>
        <v>0</v>
      </c>
      <c r="J362" s="338">
        <f t="shared" si="173"/>
        <v>0</v>
      </c>
      <c r="K362" s="408">
        <f t="shared" si="173"/>
        <v>0</v>
      </c>
      <c r="L362" s="408">
        <f t="shared" si="173"/>
        <v>0</v>
      </c>
      <c r="M362" s="322">
        <f t="shared" si="173"/>
        <v>0</v>
      </c>
      <c r="N362" s="322">
        <f t="shared" si="173"/>
        <v>0</v>
      </c>
      <c r="O362" s="312">
        <f t="shared" si="173"/>
        <v>0</v>
      </c>
      <c r="P362" s="312">
        <f t="shared" si="173"/>
        <v>0</v>
      </c>
      <c r="Q362" s="322">
        <f t="shared" si="173"/>
        <v>0</v>
      </c>
      <c r="R362" s="322">
        <f t="shared" si="173"/>
        <v>0</v>
      </c>
      <c r="S362" s="312">
        <f t="shared" si="173"/>
        <v>0</v>
      </c>
      <c r="T362" s="312">
        <f t="shared" si="173"/>
        <v>0</v>
      </c>
      <c r="U362" s="132">
        <f t="shared" si="168"/>
        <v>0</v>
      </c>
      <c r="V362" s="132">
        <f t="shared" si="169"/>
        <v>0</v>
      </c>
    </row>
    <row r="363" spans="1:22" s="77" customFormat="1" ht="31.5" customHeight="1" outlineLevel="1" x14ac:dyDescent="0.25">
      <c r="A363" s="78" t="s">
        <v>862</v>
      </c>
      <c r="B363" s="79" t="s">
        <v>76</v>
      </c>
      <c r="C363" s="79" t="s">
        <v>14</v>
      </c>
      <c r="D363" s="79" t="s">
        <v>31</v>
      </c>
      <c r="E363" s="79" t="s">
        <v>861</v>
      </c>
      <c r="F363" s="79" t="s">
        <v>9</v>
      </c>
      <c r="G363" s="316">
        <f t="shared" si="173"/>
        <v>0</v>
      </c>
      <c r="H363" s="316">
        <f t="shared" si="173"/>
        <v>0</v>
      </c>
      <c r="I363" s="338">
        <f t="shared" si="173"/>
        <v>0</v>
      </c>
      <c r="J363" s="338">
        <f t="shared" si="173"/>
        <v>0</v>
      </c>
      <c r="K363" s="408">
        <f t="shared" si="173"/>
        <v>0</v>
      </c>
      <c r="L363" s="408">
        <f t="shared" si="173"/>
        <v>0</v>
      </c>
      <c r="M363" s="322">
        <f t="shared" si="173"/>
        <v>0</v>
      </c>
      <c r="N363" s="322">
        <f t="shared" si="173"/>
        <v>0</v>
      </c>
      <c r="O363" s="312">
        <f t="shared" si="173"/>
        <v>0</v>
      </c>
      <c r="P363" s="312">
        <f t="shared" si="173"/>
        <v>0</v>
      </c>
      <c r="Q363" s="322">
        <f t="shared" si="173"/>
        <v>0</v>
      </c>
      <c r="R363" s="322">
        <f t="shared" si="173"/>
        <v>0</v>
      </c>
      <c r="S363" s="312">
        <f t="shared" si="173"/>
        <v>0</v>
      </c>
      <c r="T363" s="312">
        <f t="shared" si="173"/>
        <v>0</v>
      </c>
      <c r="U363" s="132">
        <f t="shared" si="168"/>
        <v>0</v>
      </c>
      <c r="V363" s="132">
        <f t="shared" si="169"/>
        <v>0</v>
      </c>
    </row>
    <row r="364" spans="1:22" s="80" customFormat="1" ht="31.5" customHeight="1" outlineLevel="1" x14ac:dyDescent="0.25">
      <c r="A364" s="74" t="s">
        <v>124</v>
      </c>
      <c r="B364" s="75" t="s">
        <v>76</v>
      </c>
      <c r="C364" s="75" t="s">
        <v>14</v>
      </c>
      <c r="D364" s="75" t="s">
        <v>31</v>
      </c>
      <c r="E364" s="75" t="s">
        <v>861</v>
      </c>
      <c r="F364" s="75" t="s">
        <v>117</v>
      </c>
      <c r="G364" s="311"/>
      <c r="H364" s="311"/>
      <c r="I364" s="320"/>
      <c r="J364" s="320"/>
      <c r="K364" s="409"/>
      <c r="L364" s="407"/>
      <c r="M364" s="323"/>
      <c r="N364" s="323"/>
      <c r="O364" s="313"/>
      <c r="P364" s="313"/>
      <c r="Q364" s="323"/>
      <c r="R364" s="323"/>
      <c r="S364" s="313"/>
      <c r="T364" s="313"/>
      <c r="U364" s="131">
        <f t="shared" si="168"/>
        <v>0</v>
      </c>
      <c r="V364" s="131">
        <f t="shared" si="169"/>
        <v>0</v>
      </c>
    </row>
    <row r="365" spans="1:22" s="80" customFormat="1" ht="15.75" customHeight="1" outlineLevel="1" x14ac:dyDescent="0.25">
      <c r="A365" s="74" t="s">
        <v>116</v>
      </c>
      <c r="B365" s="75" t="s">
        <v>76</v>
      </c>
      <c r="C365" s="75" t="s">
        <v>14</v>
      </c>
      <c r="D365" s="75" t="s">
        <v>31</v>
      </c>
      <c r="E365" s="75" t="s">
        <v>861</v>
      </c>
      <c r="F365" s="75" t="s">
        <v>114</v>
      </c>
      <c r="G365" s="311"/>
      <c r="H365" s="311"/>
      <c r="I365" s="320"/>
      <c r="J365" s="320"/>
      <c r="K365" s="409"/>
      <c r="L365" s="407"/>
      <c r="M365" s="323"/>
      <c r="N365" s="323"/>
      <c r="O365" s="313"/>
      <c r="P365" s="313"/>
      <c r="Q365" s="323"/>
      <c r="R365" s="323"/>
      <c r="S365" s="313"/>
      <c r="T365" s="313"/>
      <c r="U365" s="131">
        <f t="shared" si="168"/>
        <v>0</v>
      </c>
      <c r="V365" s="131">
        <f t="shared" si="169"/>
        <v>0</v>
      </c>
    </row>
    <row r="366" spans="1:22" s="77" customFormat="1" x14ac:dyDescent="0.25">
      <c r="A366" s="78" t="s">
        <v>27</v>
      </c>
      <c r="B366" s="79" t="s">
        <v>76</v>
      </c>
      <c r="C366" s="79" t="s">
        <v>14</v>
      </c>
      <c r="D366" s="79" t="s">
        <v>28</v>
      </c>
      <c r="E366" s="79" t="s">
        <v>365</v>
      </c>
      <c r="F366" s="79" t="s">
        <v>9</v>
      </c>
      <c r="G366" s="316">
        <f>G377+G367</f>
        <v>122.5</v>
      </c>
      <c r="H366" s="316">
        <f>H377+H367</f>
        <v>21098.62</v>
      </c>
      <c r="I366" s="316">
        <f t="shared" ref="I366:T366" si="174">I377+I367</f>
        <v>122.6</v>
      </c>
      <c r="J366" s="316">
        <f t="shared" si="174"/>
        <v>19534.798770000001</v>
      </c>
      <c r="K366" s="408">
        <f t="shared" si="174"/>
        <v>-145.91749999999999</v>
      </c>
      <c r="L366" s="408">
        <f t="shared" si="174"/>
        <v>-144.97499999999999</v>
      </c>
      <c r="M366" s="316">
        <f t="shared" si="174"/>
        <v>0</v>
      </c>
      <c r="N366" s="316">
        <f t="shared" si="174"/>
        <v>0</v>
      </c>
      <c r="O366" s="316">
        <f t="shared" si="174"/>
        <v>0</v>
      </c>
      <c r="P366" s="316">
        <f t="shared" si="174"/>
        <v>0</v>
      </c>
      <c r="Q366" s="316">
        <f t="shared" si="174"/>
        <v>0</v>
      </c>
      <c r="R366" s="316">
        <f t="shared" si="174"/>
        <v>0</v>
      </c>
      <c r="S366" s="316">
        <f t="shared" si="174"/>
        <v>0</v>
      </c>
      <c r="T366" s="316">
        <f t="shared" si="174"/>
        <v>0</v>
      </c>
      <c r="U366" s="132">
        <f t="shared" si="168"/>
        <v>21075.202499999999</v>
      </c>
      <c r="V366" s="132">
        <f t="shared" si="169"/>
        <v>19512.423770000001</v>
      </c>
    </row>
    <row r="367" spans="1:22" s="80" customFormat="1" ht="31.5" x14ac:dyDescent="0.25">
      <c r="A367" s="78" t="s">
        <v>786</v>
      </c>
      <c r="B367" s="79" t="s">
        <v>76</v>
      </c>
      <c r="C367" s="79" t="s">
        <v>14</v>
      </c>
      <c r="D367" s="79" t="s">
        <v>28</v>
      </c>
      <c r="E367" s="79" t="s">
        <v>405</v>
      </c>
      <c r="F367" s="79" t="s">
        <v>9</v>
      </c>
      <c r="G367" s="316">
        <f>G368+G371+G375</f>
        <v>0</v>
      </c>
      <c r="H367" s="316">
        <f>H368+H371+H375</f>
        <v>478</v>
      </c>
      <c r="I367" s="338">
        <f t="shared" ref="I367" si="175">I368+I371+I375</f>
        <v>0</v>
      </c>
      <c r="J367" s="338">
        <f>J368+J371+J375</f>
        <v>478</v>
      </c>
      <c r="K367" s="408">
        <f t="shared" ref="K367:T367" si="176">K368+K371+K375</f>
        <v>0</v>
      </c>
      <c r="L367" s="408">
        <f t="shared" si="176"/>
        <v>0</v>
      </c>
      <c r="M367" s="322">
        <f t="shared" si="176"/>
        <v>0</v>
      </c>
      <c r="N367" s="322">
        <f t="shared" si="176"/>
        <v>0</v>
      </c>
      <c r="O367" s="312">
        <f t="shared" si="176"/>
        <v>0</v>
      </c>
      <c r="P367" s="312">
        <f t="shared" si="176"/>
        <v>0</v>
      </c>
      <c r="Q367" s="322">
        <f t="shared" si="176"/>
        <v>0</v>
      </c>
      <c r="R367" s="322">
        <f t="shared" si="176"/>
        <v>0</v>
      </c>
      <c r="S367" s="312">
        <f t="shared" si="176"/>
        <v>0</v>
      </c>
      <c r="T367" s="312">
        <f t="shared" si="176"/>
        <v>0</v>
      </c>
      <c r="U367" s="132">
        <f t="shared" si="168"/>
        <v>478</v>
      </c>
      <c r="V367" s="132">
        <f t="shared" si="169"/>
        <v>478</v>
      </c>
    </row>
    <row r="368" spans="1:22" s="80" customFormat="1" ht="15.75" customHeight="1" outlineLevel="1" x14ac:dyDescent="0.25">
      <c r="A368" s="78" t="s">
        <v>127</v>
      </c>
      <c r="B368" s="79" t="s">
        <v>76</v>
      </c>
      <c r="C368" s="79" t="s">
        <v>14</v>
      </c>
      <c r="D368" s="79" t="s">
        <v>28</v>
      </c>
      <c r="E368" s="79" t="s">
        <v>406</v>
      </c>
      <c r="F368" s="79" t="s">
        <v>9</v>
      </c>
      <c r="G368" s="316">
        <f t="shared" ref="G368:T369" si="177">G369</f>
        <v>0</v>
      </c>
      <c r="H368" s="316">
        <f t="shared" si="177"/>
        <v>0</v>
      </c>
      <c r="I368" s="338">
        <f t="shared" si="177"/>
        <v>0</v>
      </c>
      <c r="J368" s="338">
        <f t="shared" si="177"/>
        <v>0</v>
      </c>
      <c r="K368" s="408">
        <f t="shared" si="177"/>
        <v>0</v>
      </c>
      <c r="L368" s="408">
        <f t="shared" si="177"/>
        <v>0</v>
      </c>
      <c r="M368" s="322">
        <f t="shared" si="177"/>
        <v>0</v>
      </c>
      <c r="N368" s="322">
        <f t="shared" si="177"/>
        <v>0</v>
      </c>
      <c r="O368" s="312">
        <f t="shared" si="177"/>
        <v>0</v>
      </c>
      <c r="P368" s="312">
        <f t="shared" si="177"/>
        <v>0</v>
      </c>
      <c r="Q368" s="322">
        <f t="shared" si="177"/>
        <v>0</v>
      </c>
      <c r="R368" s="322">
        <f t="shared" si="177"/>
        <v>0</v>
      </c>
      <c r="S368" s="312">
        <f t="shared" si="177"/>
        <v>0</v>
      </c>
      <c r="T368" s="312">
        <f t="shared" si="177"/>
        <v>0</v>
      </c>
      <c r="U368" s="132">
        <f t="shared" si="168"/>
        <v>0</v>
      </c>
      <c r="V368" s="132">
        <f t="shared" si="169"/>
        <v>0</v>
      </c>
    </row>
    <row r="369" spans="1:22" s="80" customFormat="1" ht="47.25" customHeight="1" outlineLevel="1" x14ac:dyDescent="0.25">
      <c r="A369" s="78" t="s">
        <v>121</v>
      </c>
      <c r="B369" s="79" t="s">
        <v>76</v>
      </c>
      <c r="C369" s="79" t="s">
        <v>14</v>
      </c>
      <c r="D369" s="79" t="s">
        <v>28</v>
      </c>
      <c r="E369" s="79" t="s">
        <v>410</v>
      </c>
      <c r="F369" s="79" t="s">
        <v>9</v>
      </c>
      <c r="G369" s="316">
        <f t="shared" si="177"/>
        <v>0</v>
      </c>
      <c r="H369" s="316">
        <f t="shared" si="177"/>
        <v>0</v>
      </c>
      <c r="I369" s="338">
        <f t="shared" si="177"/>
        <v>0</v>
      </c>
      <c r="J369" s="338">
        <f t="shared" si="177"/>
        <v>0</v>
      </c>
      <c r="K369" s="408">
        <f t="shared" si="177"/>
        <v>0</v>
      </c>
      <c r="L369" s="408">
        <f t="shared" si="177"/>
        <v>0</v>
      </c>
      <c r="M369" s="322">
        <f t="shared" si="177"/>
        <v>0</v>
      </c>
      <c r="N369" s="322">
        <f t="shared" si="177"/>
        <v>0</v>
      </c>
      <c r="O369" s="312">
        <f t="shared" si="177"/>
        <v>0</v>
      </c>
      <c r="P369" s="312">
        <f t="shared" si="177"/>
        <v>0</v>
      </c>
      <c r="Q369" s="322">
        <f t="shared" si="177"/>
        <v>0</v>
      </c>
      <c r="R369" s="322">
        <f t="shared" si="177"/>
        <v>0</v>
      </c>
      <c r="S369" s="312">
        <f t="shared" si="177"/>
        <v>0</v>
      </c>
      <c r="T369" s="312">
        <f t="shared" si="177"/>
        <v>0</v>
      </c>
      <c r="U369" s="132">
        <f t="shared" si="168"/>
        <v>0</v>
      </c>
      <c r="V369" s="132">
        <f t="shared" si="169"/>
        <v>0</v>
      </c>
    </row>
    <row r="370" spans="1:22" s="77" customFormat="1" ht="31.5" customHeight="1" outlineLevel="1" x14ac:dyDescent="0.25">
      <c r="A370" s="74" t="s">
        <v>124</v>
      </c>
      <c r="B370" s="75" t="s">
        <v>76</v>
      </c>
      <c r="C370" s="75" t="s">
        <v>14</v>
      </c>
      <c r="D370" s="75" t="s">
        <v>28</v>
      </c>
      <c r="E370" s="75" t="s">
        <v>410</v>
      </c>
      <c r="F370" s="75" t="s">
        <v>117</v>
      </c>
      <c r="G370" s="311"/>
      <c r="H370" s="311"/>
      <c r="I370" s="320"/>
      <c r="J370" s="320"/>
      <c r="K370" s="409"/>
      <c r="L370" s="409"/>
      <c r="M370" s="323"/>
      <c r="N370" s="323"/>
      <c r="O370" s="313"/>
      <c r="P370" s="313"/>
      <c r="Q370" s="323"/>
      <c r="R370" s="323"/>
      <c r="S370" s="313"/>
      <c r="T370" s="313"/>
      <c r="U370" s="131">
        <f t="shared" si="168"/>
        <v>0</v>
      </c>
      <c r="V370" s="131">
        <f t="shared" si="169"/>
        <v>0</v>
      </c>
    </row>
    <row r="371" spans="1:22" s="80" customFormat="1" ht="47.25" x14ac:dyDescent="0.25">
      <c r="A371" s="78" t="s">
        <v>572</v>
      </c>
      <c r="B371" s="79" t="s">
        <v>76</v>
      </c>
      <c r="C371" s="79" t="s">
        <v>14</v>
      </c>
      <c r="D371" s="79" t="s">
        <v>28</v>
      </c>
      <c r="E371" s="79" t="s">
        <v>408</v>
      </c>
      <c r="F371" s="79" t="s">
        <v>9</v>
      </c>
      <c r="G371" s="316">
        <f t="shared" ref="G371:T371" si="178">G372</f>
        <v>0</v>
      </c>
      <c r="H371" s="316">
        <f t="shared" si="178"/>
        <v>46.9</v>
      </c>
      <c r="I371" s="338">
        <f t="shared" si="178"/>
        <v>0</v>
      </c>
      <c r="J371" s="338">
        <f t="shared" si="178"/>
        <v>46.9</v>
      </c>
      <c r="K371" s="408">
        <f t="shared" si="178"/>
        <v>0</v>
      </c>
      <c r="L371" s="408">
        <f t="shared" si="178"/>
        <v>0</v>
      </c>
      <c r="M371" s="322">
        <f t="shared" si="178"/>
        <v>0</v>
      </c>
      <c r="N371" s="322">
        <f t="shared" si="178"/>
        <v>0</v>
      </c>
      <c r="O371" s="312">
        <f t="shared" si="178"/>
        <v>0</v>
      </c>
      <c r="P371" s="312">
        <f t="shared" si="178"/>
        <v>0</v>
      </c>
      <c r="Q371" s="322">
        <f t="shared" si="178"/>
        <v>0</v>
      </c>
      <c r="R371" s="322">
        <f t="shared" si="178"/>
        <v>0</v>
      </c>
      <c r="S371" s="312">
        <f t="shared" si="178"/>
        <v>0</v>
      </c>
      <c r="T371" s="312">
        <f t="shared" si="178"/>
        <v>0</v>
      </c>
      <c r="U371" s="132">
        <f t="shared" si="168"/>
        <v>46.9</v>
      </c>
      <c r="V371" s="132">
        <f t="shared" si="169"/>
        <v>46.9</v>
      </c>
    </row>
    <row r="372" spans="1:22" s="80" customFormat="1" ht="31.5" x14ac:dyDescent="0.25">
      <c r="A372" s="78" t="s">
        <v>29</v>
      </c>
      <c r="B372" s="79" t="s">
        <v>76</v>
      </c>
      <c r="C372" s="79" t="s">
        <v>14</v>
      </c>
      <c r="D372" s="79" t="s">
        <v>28</v>
      </c>
      <c r="E372" s="79" t="s">
        <v>411</v>
      </c>
      <c r="F372" s="79" t="s">
        <v>9</v>
      </c>
      <c r="G372" s="316">
        <f t="shared" ref="G372" si="179">G373+G374</f>
        <v>0</v>
      </c>
      <c r="H372" s="316">
        <f>H373+H374</f>
        <v>46.9</v>
      </c>
      <c r="I372" s="338">
        <f t="shared" ref="I372" si="180">I373+I374</f>
        <v>0</v>
      </c>
      <c r="J372" s="338">
        <f>J373+J374</f>
        <v>46.9</v>
      </c>
      <c r="K372" s="408">
        <f t="shared" ref="K372:T372" si="181">K373+K374</f>
        <v>0</v>
      </c>
      <c r="L372" s="408">
        <f t="shared" si="181"/>
        <v>0</v>
      </c>
      <c r="M372" s="322">
        <f t="shared" si="181"/>
        <v>0</v>
      </c>
      <c r="N372" s="322">
        <f t="shared" si="181"/>
        <v>0</v>
      </c>
      <c r="O372" s="312">
        <f t="shared" si="181"/>
        <v>0</v>
      </c>
      <c r="P372" s="312">
        <f t="shared" si="181"/>
        <v>0</v>
      </c>
      <c r="Q372" s="322">
        <f t="shared" si="181"/>
        <v>0</v>
      </c>
      <c r="R372" s="322">
        <f t="shared" si="181"/>
        <v>0</v>
      </c>
      <c r="S372" s="312">
        <f t="shared" si="181"/>
        <v>0</v>
      </c>
      <c r="T372" s="312">
        <f t="shared" si="181"/>
        <v>0</v>
      </c>
      <c r="U372" s="132">
        <f t="shared" si="168"/>
        <v>46.9</v>
      </c>
      <c r="V372" s="132">
        <f t="shared" si="169"/>
        <v>46.9</v>
      </c>
    </row>
    <row r="373" spans="1:22" s="77" customFormat="1" ht="63" customHeight="1" x14ac:dyDescent="0.25">
      <c r="A373" s="74" t="s">
        <v>115</v>
      </c>
      <c r="B373" s="75" t="s">
        <v>76</v>
      </c>
      <c r="C373" s="75" t="s">
        <v>14</v>
      </c>
      <c r="D373" s="75" t="s">
        <v>28</v>
      </c>
      <c r="E373" s="75" t="s">
        <v>411</v>
      </c>
      <c r="F373" s="75" t="s">
        <v>113</v>
      </c>
      <c r="G373" s="311"/>
      <c r="H373" s="311"/>
      <c r="I373" s="320"/>
      <c r="J373" s="320"/>
      <c r="K373" s="409"/>
      <c r="L373" s="409"/>
      <c r="M373" s="323"/>
      <c r="N373" s="323"/>
      <c r="O373" s="313"/>
      <c r="P373" s="313"/>
      <c r="Q373" s="323"/>
      <c r="R373" s="323"/>
      <c r="S373" s="313"/>
      <c r="T373" s="313"/>
      <c r="U373" s="131">
        <f t="shared" si="168"/>
        <v>0</v>
      </c>
      <c r="V373" s="131">
        <f t="shared" si="169"/>
        <v>0</v>
      </c>
    </row>
    <row r="374" spans="1:22" s="77" customFormat="1" ht="31.5" customHeight="1" outlineLevel="1" x14ac:dyDescent="0.25">
      <c r="A374" s="264" t="s">
        <v>124</v>
      </c>
      <c r="B374" s="75" t="s">
        <v>76</v>
      </c>
      <c r="C374" s="75" t="s">
        <v>14</v>
      </c>
      <c r="D374" s="75" t="s">
        <v>28</v>
      </c>
      <c r="E374" s="75" t="s">
        <v>411</v>
      </c>
      <c r="F374" s="75" t="s">
        <v>117</v>
      </c>
      <c r="G374" s="311"/>
      <c r="H374" s="311">
        <v>46.9</v>
      </c>
      <c r="I374" s="320"/>
      <c r="J374" s="320">
        <v>46.9</v>
      </c>
      <c r="K374" s="409"/>
      <c r="L374" s="409"/>
      <c r="M374" s="323"/>
      <c r="N374" s="323"/>
      <c r="O374" s="310"/>
      <c r="P374" s="313"/>
      <c r="Q374" s="323"/>
      <c r="R374" s="323"/>
      <c r="S374" s="313"/>
      <c r="T374" s="313"/>
      <c r="U374" s="131">
        <f t="shared" si="168"/>
        <v>46.9</v>
      </c>
      <c r="V374" s="131">
        <f t="shared" si="169"/>
        <v>46.9</v>
      </c>
    </row>
    <row r="375" spans="1:22" s="80" customFormat="1" ht="31.5" customHeight="1" outlineLevel="1" x14ac:dyDescent="0.25">
      <c r="A375" s="78" t="s">
        <v>122</v>
      </c>
      <c r="B375" s="79" t="s">
        <v>76</v>
      </c>
      <c r="C375" s="79" t="s">
        <v>14</v>
      </c>
      <c r="D375" s="79" t="s">
        <v>28</v>
      </c>
      <c r="E375" s="79" t="s">
        <v>412</v>
      </c>
      <c r="F375" s="79" t="s">
        <v>9</v>
      </c>
      <c r="G375" s="316">
        <f t="shared" ref="G375:T375" si="182">G376</f>
        <v>0</v>
      </c>
      <c r="H375" s="316">
        <f t="shared" si="182"/>
        <v>431.1</v>
      </c>
      <c r="I375" s="338">
        <f t="shared" si="182"/>
        <v>0</v>
      </c>
      <c r="J375" s="338">
        <f t="shared" si="182"/>
        <v>431.1</v>
      </c>
      <c r="K375" s="408">
        <f t="shared" si="182"/>
        <v>0</v>
      </c>
      <c r="L375" s="408">
        <f t="shared" si="182"/>
        <v>0</v>
      </c>
      <c r="M375" s="322">
        <f t="shared" si="182"/>
        <v>0</v>
      </c>
      <c r="N375" s="322">
        <f t="shared" si="182"/>
        <v>0</v>
      </c>
      <c r="O375" s="312">
        <f t="shared" si="182"/>
        <v>0</v>
      </c>
      <c r="P375" s="312">
        <f t="shared" si="182"/>
        <v>0</v>
      </c>
      <c r="Q375" s="322">
        <f t="shared" si="182"/>
        <v>0</v>
      </c>
      <c r="R375" s="322">
        <f t="shared" si="182"/>
        <v>0</v>
      </c>
      <c r="S375" s="312">
        <f t="shared" si="182"/>
        <v>0</v>
      </c>
      <c r="T375" s="312">
        <f t="shared" si="182"/>
        <v>0</v>
      </c>
      <c r="U375" s="132">
        <f t="shared" si="168"/>
        <v>431.1</v>
      </c>
      <c r="V375" s="132">
        <f t="shared" si="169"/>
        <v>431.1</v>
      </c>
    </row>
    <row r="376" spans="1:22" s="77" customFormat="1" ht="31.5" customHeight="1" outlineLevel="1" x14ac:dyDescent="0.25">
      <c r="A376" s="264" t="s">
        <v>124</v>
      </c>
      <c r="B376" s="75">
        <v>936</v>
      </c>
      <c r="C376" s="265" t="s">
        <v>14</v>
      </c>
      <c r="D376" s="265" t="s">
        <v>28</v>
      </c>
      <c r="E376" s="265" t="s">
        <v>412</v>
      </c>
      <c r="F376" s="265" t="s">
        <v>117</v>
      </c>
      <c r="G376" s="311"/>
      <c r="H376" s="311">
        <v>431.1</v>
      </c>
      <c r="I376" s="320"/>
      <c r="J376" s="320">
        <v>431.1</v>
      </c>
      <c r="K376" s="409"/>
      <c r="L376" s="407"/>
      <c r="M376" s="323"/>
      <c r="N376" s="321"/>
      <c r="O376" s="313"/>
      <c r="P376" s="313"/>
      <c r="Q376" s="323"/>
      <c r="R376" s="323"/>
      <c r="S376" s="313"/>
      <c r="T376" s="313"/>
      <c r="U376" s="131">
        <f t="shared" si="168"/>
        <v>431.1</v>
      </c>
      <c r="V376" s="131">
        <f t="shared" si="169"/>
        <v>431.1</v>
      </c>
    </row>
    <row r="377" spans="1:22" s="80" customFormat="1" ht="31.5" x14ac:dyDescent="0.25">
      <c r="A377" s="78" t="s">
        <v>784</v>
      </c>
      <c r="B377" s="79" t="s">
        <v>76</v>
      </c>
      <c r="C377" s="79" t="s">
        <v>14</v>
      </c>
      <c r="D377" s="79" t="s">
        <v>28</v>
      </c>
      <c r="E377" s="79" t="s">
        <v>380</v>
      </c>
      <c r="F377" s="79" t="s">
        <v>9</v>
      </c>
      <c r="G377" s="316">
        <f t="shared" ref="G377:T377" si="183">G378+G380+G385+G408++G413+G410</f>
        <v>122.5</v>
      </c>
      <c r="H377" s="316">
        <f>H378+H380+H385+H408++H413+H410</f>
        <v>20620.62</v>
      </c>
      <c r="I377" s="338">
        <f t="shared" si="183"/>
        <v>122.6</v>
      </c>
      <c r="J377" s="338">
        <f>J378+J380+J385+J408++J413+J410</f>
        <v>19056.798770000001</v>
      </c>
      <c r="K377" s="408">
        <f t="shared" si="183"/>
        <v>-145.91749999999999</v>
      </c>
      <c r="L377" s="408">
        <f t="shared" si="183"/>
        <v>-144.97499999999999</v>
      </c>
      <c r="M377" s="322">
        <f t="shared" si="183"/>
        <v>0</v>
      </c>
      <c r="N377" s="322">
        <f t="shared" si="183"/>
        <v>0</v>
      </c>
      <c r="O377" s="312">
        <f t="shared" si="183"/>
        <v>0</v>
      </c>
      <c r="P377" s="312">
        <f t="shared" si="183"/>
        <v>0</v>
      </c>
      <c r="Q377" s="322">
        <f t="shared" si="183"/>
        <v>0</v>
      </c>
      <c r="R377" s="322">
        <f t="shared" si="183"/>
        <v>0</v>
      </c>
      <c r="S377" s="312">
        <f t="shared" si="183"/>
        <v>0</v>
      </c>
      <c r="T377" s="312">
        <f t="shared" si="183"/>
        <v>0</v>
      </c>
      <c r="U377" s="132">
        <f t="shared" si="168"/>
        <v>20597.202499999999</v>
      </c>
      <c r="V377" s="132">
        <f t="shared" si="169"/>
        <v>19034.423770000001</v>
      </c>
    </row>
    <row r="378" spans="1:22" s="80" customFormat="1" ht="31.5" customHeight="1" outlineLevel="1" x14ac:dyDescent="0.25">
      <c r="A378" s="78" t="s">
        <v>561</v>
      </c>
      <c r="B378" s="79" t="s">
        <v>76</v>
      </c>
      <c r="C378" s="79" t="s">
        <v>14</v>
      </c>
      <c r="D378" s="79" t="s">
        <v>28</v>
      </c>
      <c r="E378" s="79" t="s">
        <v>425</v>
      </c>
      <c r="F378" s="79" t="s">
        <v>9</v>
      </c>
      <c r="G378" s="316">
        <f t="shared" ref="G378:T378" si="184">G379</f>
        <v>0</v>
      </c>
      <c r="H378" s="316">
        <f t="shared" si="184"/>
        <v>0</v>
      </c>
      <c r="I378" s="338">
        <f t="shared" si="184"/>
        <v>0</v>
      </c>
      <c r="J378" s="338">
        <f t="shared" si="184"/>
        <v>0</v>
      </c>
      <c r="K378" s="408">
        <f t="shared" si="184"/>
        <v>0</v>
      </c>
      <c r="L378" s="408">
        <f t="shared" si="184"/>
        <v>0</v>
      </c>
      <c r="M378" s="322">
        <f t="shared" si="184"/>
        <v>0</v>
      </c>
      <c r="N378" s="322">
        <f t="shared" si="184"/>
        <v>0</v>
      </c>
      <c r="O378" s="312">
        <f t="shared" si="184"/>
        <v>0</v>
      </c>
      <c r="P378" s="312">
        <f t="shared" si="184"/>
        <v>0</v>
      </c>
      <c r="Q378" s="322">
        <f t="shared" si="184"/>
        <v>0</v>
      </c>
      <c r="R378" s="322">
        <f t="shared" si="184"/>
        <v>0</v>
      </c>
      <c r="S378" s="312">
        <f t="shared" si="184"/>
        <v>0</v>
      </c>
      <c r="T378" s="312">
        <f t="shared" si="184"/>
        <v>0</v>
      </c>
      <c r="U378" s="132">
        <f t="shared" si="168"/>
        <v>0</v>
      </c>
      <c r="V378" s="132">
        <f t="shared" si="169"/>
        <v>0</v>
      </c>
    </row>
    <row r="379" spans="1:22" s="77" customFormat="1" ht="31.5" customHeight="1" outlineLevel="1" x14ac:dyDescent="0.25">
      <c r="A379" s="74" t="s">
        <v>124</v>
      </c>
      <c r="B379" s="75" t="s">
        <v>76</v>
      </c>
      <c r="C379" s="75" t="s">
        <v>14</v>
      </c>
      <c r="D379" s="75" t="s">
        <v>28</v>
      </c>
      <c r="E379" s="75" t="s">
        <v>425</v>
      </c>
      <c r="F379" s="75" t="s">
        <v>117</v>
      </c>
      <c r="G379" s="311"/>
      <c r="H379" s="311"/>
      <c r="I379" s="320"/>
      <c r="J379" s="320"/>
      <c r="K379" s="409"/>
      <c r="L379" s="409"/>
      <c r="M379" s="323"/>
      <c r="N379" s="323"/>
      <c r="O379" s="313"/>
      <c r="P379" s="313"/>
      <c r="Q379" s="323"/>
      <c r="R379" s="323"/>
      <c r="S379" s="313"/>
      <c r="T379" s="313"/>
      <c r="U379" s="131">
        <f t="shared" si="168"/>
        <v>0</v>
      </c>
      <c r="V379" s="131">
        <f t="shared" si="169"/>
        <v>0</v>
      </c>
    </row>
    <row r="380" spans="1:22" s="80" customFormat="1" ht="47.25" x14ac:dyDescent="0.25">
      <c r="A380" s="78" t="s">
        <v>1110</v>
      </c>
      <c r="B380" s="79" t="s">
        <v>76</v>
      </c>
      <c r="C380" s="79" t="s">
        <v>14</v>
      </c>
      <c r="D380" s="79" t="s">
        <v>28</v>
      </c>
      <c r="E380" s="79" t="s">
        <v>416</v>
      </c>
      <c r="F380" s="79" t="s">
        <v>9</v>
      </c>
      <c r="G380" s="316">
        <f t="shared" ref="G380:T380" si="185">G381+G383</f>
        <v>122.5</v>
      </c>
      <c r="H380" s="316">
        <f>H381+H383</f>
        <v>0</v>
      </c>
      <c r="I380" s="338">
        <f t="shared" si="185"/>
        <v>122.6</v>
      </c>
      <c r="J380" s="338">
        <f>J381+J383</f>
        <v>0</v>
      </c>
      <c r="K380" s="408">
        <f t="shared" si="185"/>
        <v>0</v>
      </c>
      <c r="L380" s="408">
        <f t="shared" si="185"/>
        <v>0</v>
      </c>
      <c r="M380" s="322">
        <f t="shared" si="185"/>
        <v>0</v>
      </c>
      <c r="N380" s="322">
        <f t="shared" si="185"/>
        <v>0</v>
      </c>
      <c r="O380" s="312">
        <f t="shared" si="185"/>
        <v>0</v>
      </c>
      <c r="P380" s="312">
        <f t="shared" si="185"/>
        <v>0</v>
      </c>
      <c r="Q380" s="322">
        <f t="shared" si="185"/>
        <v>0</v>
      </c>
      <c r="R380" s="322">
        <f t="shared" si="185"/>
        <v>0</v>
      </c>
      <c r="S380" s="312">
        <f t="shared" si="185"/>
        <v>0</v>
      </c>
      <c r="T380" s="312">
        <f t="shared" si="185"/>
        <v>0</v>
      </c>
      <c r="U380" s="132">
        <f t="shared" si="168"/>
        <v>122.5</v>
      </c>
      <c r="V380" s="132">
        <f t="shared" si="169"/>
        <v>122.6</v>
      </c>
    </row>
    <row r="381" spans="1:22" s="80" customFormat="1" ht="31.5" x14ac:dyDescent="0.25">
      <c r="A381" s="78" t="s">
        <v>1108</v>
      </c>
      <c r="B381" s="79" t="s">
        <v>76</v>
      </c>
      <c r="C381" s="79" t="s">
        <v>14</v>
      </c>
      <c r="D381" s="79" t="s">
        <v>28</v>
      </c>
      <c r="E381" s="79" t="s">
        <v>426</v>
      </c>
      <c r="F381" s="79" t="s">
        <v>9</v>
      </c>
      <c r="G381" s="316">
        <f t="shared" ref="G381:T381" si="186">G382</f>
        <v>122.4</v>
      </c>
      <c r="H381" s="316">
        <f t="shared" si="186"/>
        <v>0</v>
      </c>
      <c r="I381" s="338">
        <f t="shared" si="186"/>
        <v>122.5</v>
      </c>
      <c r="J381" s="338">
        <f t="shared" si="186"/>
        <v>0</v>
      </c>
      <c r="K381" s="408">
        <f t="shared" si="186"/>
        <v>0</v>
      </c>
      <c r="L381" s="408">
        <f t="shared" si="186"/>
        <v>0</v>
      </c>
      <c r="M381" s="322">
        <f t="shared" si="186"/>
        <v>0</v>
      </c>
      <c r="N381" s="322">
        <f t="shared" si="186"/>
        <v>0</v>
      </c>
      <c r="O381" s="312">
        <f t="shared" si="186"/>
        <v>0</v>
      </c>
      <c r="P381" s="312">
        <f t="shared" si="186"/>
        <v>0</v>
      </c>
      <c r="Q381" s="322">
        <f t="shared" si="186"/>
        <v>0</v>
      </c>
      <c r="R381" s="322">
        <f t="shared" si="186"/>
        <v>0</v>
      </c>
      <c r="S381" s="312">
        <f t="shared" si="186"/>
        <v>0</v>
      </c>
      <c r="T381" s="312">
        <f t="shared" si="186"/>
        <v>0</v>
      </c>
      <c r="U381" s="132">
        <f t="shared" si="168"/>
        <v>122.4</v>
      </c>
      <c r="V381" s="132">
        <f t="shared" si="169"/>
        <v>122.5</v>
      </c>
    </row>
    <row r="382" spans="1:22" s="77" customFormat="1" ht="31.5" x14ac:dyDescent="0.25">
      <c r="A382" s="74" t="s">
        <v>124</v>
      </c>
      <c r="B382" s="75" t="s">
        <v>76</v>
      </c>
      <c r="C382" s="75" t="s">
        <v>14</v>
      </c>
      <c r="D382" s="75" t="s">
        <v>28</v>
      </c>
      <c r="E382" s="75" t="s">
        <v>426</v>
      </c>
      <c r="F382" s="75" t="s">
        <v>117</v>
      </c>
      <c r="G382" s="311">
        <v>122.4</v>
      </c>
      <c r="H382" s="311"/>
      <c r="I382" s="320">
        <v>122.5</v>
      </c>
      <c r="J382" s="320"/>
      <c r="K382" s="409"/>
      <c r="L382" s="409"/>
      <c r="M382" s="323"/>
      <c r="N382" s="323"/>
      <c r="O382" s="313"/>
      <c r="P382" s="313"/>
      <c r="Q382" s="323"/>
      <c r="R382" s="323"/>
      <c r="S382" s="313"/>
      <c r="T382" s="313"/>
      <c r="U382" s="131">
        <f t="shared" si="168"/>
        <v>122.4</v>
      </c>
      <c r="V382" s="131">
        <f t="shared" si="169"/>
        <v>122.5</v>
      </c>
    </row>
    <row r="383" spans="1:22" s="77" customFormat="1" ht="31.5" customHeight="1" outlineLevel="1" x14ac:dyDescent="0.25">
      <c r="A383" s="78" t="s">
        <v>1112</v>
      </c>
      <c r="B383" s="79" t="s">
        <v>76</v>
      </c>
      <c r="C383" s="79" t="s">
        <v>14</v>
      </c>
      <c r="D383" s="79" t="s">
        <v>28</v>
      </c>
      <c r="E383" s="79" t="s">
        <v>427</v>
      </c>
      <c r="F383" s="79" t="s">
        <v>9</v>
      </c>
      <c r="G383" s="316">
        <f t="shared" ref="G383:T383" si="187">G384</f>
        <v>0.1</v>
      </c>
      <c r="H383" s="316">
        <f t="shared" si="187"/>
        <v>0</v>
      </c>
      <c r="I383" s="338">
        <f t="shared" si="187"/>
        <v>0.1</v>
      </c>
      <c r="J383" s="338">
        <f t="shared" si="187"/>
        <v>0</v>
      </c>
      <c r="K383" s="408">
        <f t="shared" si="187"/>
        <v>0</v>
      </c>
      <c r="L383" s="408">
        <f t="shared" si="187"/>
        <v>0</v>
      </c>
      <c r="M383" s="322">
        <f t="shared" si="187"/>
        <v>0</v>
      </c>
      <c r="N383" s="322">
        <f t="shared" si="187"/>
        <v>0</v>
      </c>
      <c r="O383" s="312">
        <f t="shared" si="187"/>
        <v>0</v>
      </c>
      <c r="P383" s="312">
        <f t="shared" si="187"/>
        <v>0</v>
      </c>
      <c r="Q383" s="322">
        <f t="shared" si="187"/>
        <v>0</v>
      </c>
      <c r="R383" s="322">
        <f t="shared" si="187"/>
        <v>0</v>
      </c>
      <c r="S383" s="312">
        <f t="shared" si="187"/>
        <v>0</v>
      </c>
      <c r="T383" s="312">
        <f t="shared" si="187"/>
        <v>0</v>
      </c>
      <c r="U383" s="132">
        <f t="shared" si="168"/>
        <v>0.1</v>
      </c>
      <c r="V383" s="132">
        <f t="shared" si="169"/>
        <v>0.1</v>
      </c>
    </row>
    <row r="384" spans="1:22" s="80" customFormat="1" ht="31.5" customHeight="1" outlineLevel="1" x14ac:dyDescent="0.25">
      <c r="A384" s="74" t="s">
        <v>124</v>
      </c>
      <c r="B384" s="75" t="s">
        <v>76</v>
      </c>
      <c r="C384" s="75" t="s">
        <v>14</v>
      </c>
      <c r="D384" s="75" t="s">
        <v>28</v>
      </c>
      <c r="E384" s="75" t="s">
        <v>427</v>
      </c>
      <c r="F384" s="75" t="s">
        <v>117</v>
      </c>
      <c r="G384" s="311">
        <v>0.1</v>
      </c>
      <c r="H384" s="311"/>
      <c r="I384" s="320">
        <v>0.1</v>
      </c>
      <c r="J384" s="320"/>
      <c r="K384" s="409"/>
      <c r="L384" s="409"/>
      <c r="M384" s="323"/>
      <c r="N384" s="323"/>
      <c r="O384" s="313"/>
      <c r="P384" s="313"/>
      <c r="Q384" s="323"/>
      <c r="R384" s="323"/>
      <c r="S384" s="313"/>
      <c r="T384" s="313"/>
      <c r="U384" s="131">
        <f t="shared" si="168"/>
        <v>0.1</v>
      </c>
      <c r="V384" s="131">
        <f t="shared" si="169"/>
        <v>0.1</v>
      </c>
    </row>
    <row r="385" spans="1:22" s="77" customFormat="1" ht="31.5" x14ac:dyDescent="0.25">
      <c r="A385" s="78" t="s">
        <v>568</v>
      </c>
      <c r="B385" s="79" t="s">
        <v>76</v>
      </c>
      <c r="C385" s="79" t="s">
        <v>14</v>
      </c>
      <c r="D385" s="79" t="s">
        <v>28</v>
      </c>
      <c r="E385" s="79" t="s">
        <v>421</v>
      </c>
      <c r="F385" s="79" t="s">
        <v>9</v>
      </c>
      <c r="G385" s="316">
        <f t="shared" ref="G385:T385" si="188">G386+G388+G392+G402+G396+G406+G400</f>
        <v>0</v>
      </c>
      <c r="H385" s="316">
        <f>H386+H388+H392+H402+H396+H406+H400</f>
        <v>20608.12</v>
      </c>
      <c r="I385" s="338">
        <f t="shared" si="188"/>
        <v>0</v>
      </c>
      <c r="J385" s="338">
        <f>J386+J388+J392+J402+J396+J406+J400</f>
        <v>19044.298770000001</v>
      </c>
      <c r="K385" s="408">
        <f t="shared" si="188"/>
        <v>-145.91749999999999</v>
      </c>
      <c r="L385" s="408">
        <f t="shared" si="188"/>
        <v>-144.97499999999999</v>
      </c>
      <c r="M385" s="322">
        <f t="shared" si="188"/>
        <v>0</v>
      </c>
      <c r="N385" s="322">
        <f t="shared" si="188"/>
        <v>0</v>
      </c>
      <c r="O385" s="312">
        <f t="shared" si="188"/>
        <v>0</v>
      </c>
      <c r="P385" s="312">
        <f t="shared" si="188"/>
        <v>0</v>
      </c>
      <c r="Q385" s="322">
        <f t="shared" si="188"/>
        <v>0</v>
      </c>
      <c r="R385" s="322">
        <f t="shared" si="188"/>
        <v>0</v>
      </c>
      <c r="S385" s="312">
        <f t="shared" si="188"/>
        <v>0</v>
      </c>
      <c r="T385" s="312">
        <f t="shared" si="188"/>
        <v>0</v>
      </c>
      <c r="U385" s="132">
        <f t="shared" si="168"/>
        <v>20462.202499999999</v>
      </c>
      <c r="V385" s="132">
        <f t="shared" si="169"/>
        <v>18899.323770000003</v>
      </c>
    </row>
    <row r="386" spans="1:22" s="77" customFormat="1" ht="31.5" x14ac:dyDescent="0.25">
      <c r="A386" s="78" t="s">
        <v>29</v>
      </c>
      <c r="B386" s="79" t="s">
        <v>76</v>
      </c>
      <c r="C386" s="79" t="s">
        <v>14</v>
      </c>
      <c r="D386" s="79" t="s">
        <v>28</v>
      </c>
      <c r="E386" s="79" t="s">
        <v>428</v>
      </c>
      <c r="F386" s="79" t="s">
        <v>9</v>
      </c>
      <c r="G386" s="316">
        <f t="shared" ref="G386:T386" si="189">G387</f>
        <v>0</v>
      </c>
      <c r="H386" s="316">
        <f t="shared" si="189"/>
        <v>1069.04</v>
      </c>
      <c r="I386" s="338">
        <f t="shared" si="189"/>
        <v>0</v>
      </c>
      <c r="J386" s="338">
        <f t="shared" si="189"/>
        <v>1069.04</v>
      </c>
      <c r="K386" s="408">
        <f t="shared" si="189"/>
        <v>0</v>
      </c>
      <c r="L386" s="408">
        <f t="shared" si="189"/>
        <v>0</v>
      </c>
      <c r="M386" s="322">
        <f t="shared" si="189"/>
        <v>0</v>
      </c>
      <c r="N386" s="322">
        <f t="shared" si="189"/>
        <v>0</v>
      </c>
      <c r="O386" s="312">
        <f t="shared" si="189"/>
        <v>0</v>
      </c>
      <c r="P386" s="312">
        <f t="shared" si="189"/>
        <v>0</v>
      </c>
      <c r="Q386" s="322">
        <f t="shared" si="189"/>
        <v>0</v>
      </c>
      <c r="R386" s="322">
        <f t="shared" si="189"/>
        <v>0</v>
      </c>
      <c r="S386" s="312">
        <f t="shared" si="189"/>
        <v>0</v>
      </c>
      <c r="T386" s="312">
        <f t="shared" si="189"/>
        <v>0</v>
      </c>
      <c r="U386" s="132">
        <f t="shared" si="168"/>
        <v>1069.04</v>
      </c>
      <c r="V386" s="132">
        <f t="shared" si="169"/>
        <v>1069.04</v>
      </c>
    </row>
    <row r="387" spans="1:22" s="77" customFormat="1" ht="63" x14ac:dyDescent="0.25">
      <c r="A387" s="74" t="s">
        <v>115</v>
      </c>
      <c r="B387" s="75" t="s">
        <v>76</v>
      </c>
      <c r="C387" s="75" t="s">
        <v>14</v>
      </c>
      <c r="D387" s="75" t="s">
        <v>28</v>
      </c>
      <c r="E387" s="75" t="s">
        <v>428</v>
      </c>
      <c r="F387" s="75" t="s">
        <v>113</v>
      </c>
      <c r="G387" s="311"/>
      <c r="H387" s="311">
        <v>1069.04</v>
      </c>
      <c r="I387" s="320"/>
      <c r="J387" s="320">
        <v>1069.04</v>
      </c>
      <c r="K387" s="409"/>
      <c r="L387" s="407"/>
      <c r="M387" s="323"/>
      <c r="N387" s="323"/>
      <c r="O387" s="313"/>
      <c r="P387" s="313"/>
      <c r="Q387" s="323"/>
      <c r="R387" s="323"/>
      <c r="S387" s="313"/>
      <c r="T387" s="313"/>
      <c r="U387" s="131">
        <f t="shared" si="168"/>
        <v>1069.04</v>
      </c>
      <c r="V387" s="131">
        <f t="shared" si="169"/>
        <v>1069.04</v>
      </c>
    </row>
    <row r="388" spans="1:22" s="80" customFormat="1" x14ac:dyDescent="0.25">
      <c r="A388" s="78" t="s">
        <v>79</v>
      </c>
      <c r="B388" s="79" t="s">
        <v>76</v>
      </c>
      <c r="C388" s="79" t="s">
        <v>14</v>
      </c>
      <c r="D388" s="79" t="s">
        <v>28</v>
      </c>
      <c r="E388" s="79" t="s">
        <v>429</v>
      </c>
      <c r="F388" s="79" t="s">
        <v>9</v>
      </c>
      <c r="G388" s="316">
        <f t="shared" ref="G388:T388" si="190">G389+G390+G391</f>
        <v>0</v>
      </c>
      <c r="H388" s="316">
        <f t="shared" si="190"/>
        <v>830.09</v>
      </c>
      <c r="I388" s="338">
        <f t="shared" si="190"/>
        <v>0</v>
      </c>
      <c r="J388" s="338">
        <f t="shared" si="190"/>
        <v>829.99</v>
      </c>
      <c r="K388" s="408">
        <f t="shared" si="190"/>
        <v>-145.91749999999999</v>
      </c>
      <c r="L388" s="408">
        <f t="shared" si="190"/>
        <v>-144.97499999999999</v>
      </c>
      <c r="M388" s="322">
        <f t="shared" si="190"/>
        <v>0</v>
      </c>
      <c r="N388" s="322">
        <f t="shared" si="190"/>
        <v>0</v>
      </c>
      <c r="O388" s="312">
        <f t="shared" si="190"/>
        <v>0</v>
      </c>
      <c r="P388" s="312">
        <f t="shared" si="190"/>
        <v>0</v>
      </c>
      <c r="Q388" s="322">
        <f t="shared" si="190"/>
        <v>0</v>
      </c>
      <c r="R388" s="322">
        <f t="shared" si="190"/>
        <v>0</v>
      </c>
      <c r="S388" s="312">
        <f t="shared" si="190"/>
        <v>0</v>
      </c>
      <c r="T388" s="312">
        <f t="shared" si="190"/>
        <v>0</v>
      </c>
      <c r="U388" s="132">
        <f t="shared" si="168"/>
        <v>684.17250000000001</v>
      </c>
      <c r="V388" s="132">
        <f t="shared" si="169"/>
        <v>685.01499999999999</v>
      </c>
    </row>
    <row r="389" spans="1:22" s="77" customFormat="1" ht="63" customHeight="1" outlineLevel="1" x14ac:dyDescent="0.25">
      <c r="A389" s="74" t="s">
        <v>115</v>
      </c>
      <c r="B389" s="75" t="s">
        <v>76</v>
      </c>
      <c r="C389" s="75" t="s">
        <v>14</v>
      </c>
      <c r="D389" s="75" t="s">
        <v>28</v>
      </c>
      <c r="E389" s="75" t="s">
        <v>429</v>
      </c>
      <c r="F389" s="75" t="s">
        <v>113</v>
      </c>
      <c r="G389" s="311"/>
      <c r="H389" s="311"/>
      <c r="I389" s="320"/>
      <c r="J389" s="320"/>
      <c r="K389" s="409"/>
      <c r="L389" s="409"/>
      <c r="M389" s="323"/>
      <c r="N389" s="323"/>
      <c r="O389" s="313"/>
      <c r="P389" s="313"/>
      <c r="Q389" s="323"/>
      <c r="R389" s="323"/>
      <c r="S389" s="313"/>
      <c r="T389" s="313"/>
      <c r="U389" s="131">
        <f t="shared" si="168"/>
        <v>0</v>
      </c>
      <c r="V389" s="131">
        <f t="shared" si="169"/>
        <v>0</v>
      </c>
    </row>
    <row r="390" spans="1:22" s="77" customFormat="1" ht="31.5" customHeight="1" outlineLevel="1" x14ac:dyDescent="0.25">
      <c r="A390" s="264" t="s">
        <v>124</v>
      </c>
      <c r="B390" s="265" t="s">
        <v>76</v>
      </c>
      <c r="C390" s="265" t="s">
        <v>14</v>
      </c>
      <c r="D390" s="265" t="s">
        <v>28</v>
      </c>
      <c r="E390" s="265" t="s">
        <v>429</v>
      </c>
      <c r="F390" s="265" t="s">
        <v>117</v>
      </c>
      <c r="G390" s="311"/>
      <c r="H390" s="359">
        <f>718.09+21.1</f>
        <v>739.19</v>
      </c>
      <c r="I390" s="320"/>
      <c r="J390" s="359">
        <f>718.09+21</f>
        <v>739.09</v>
      </c>
      <c r="K390" s="409">
        <v>-145.91749999999999</v>
      </c>
      <c r="L390" s="407">
        <v>-144.97499999999999</v>
      </c>
      <c r="M390" s="323"/>
      <c r="N390" s="323"/>
      <c r="O390" s="313"/>
      <c r="P390" s="313"/>
      <c r="Q390" s="323"/>
      <c r="R390" s="323"/>
      <c r="S390" s="313"/>
      <c r="T390" s="313"/>
      <c r="U390" s="131">
        <f t="shared" si="168"/>
        <v>593.27250000000004</v>
      </c>
      <c r="V390" s="131">
        <f t="shared" si="169"/>
        <v>594.11500000000001</v>
      </c>
    </row>
    <row r="391" spans="1:22" s="77" customFormat="1" x14ac:dyDescent="0.25">
      <c r="A391" s="74" t="s">
        <v>116</v>
      </c>
      <c r="B391" s="265" t="s">
        <v>76</v>
      </c>
      <c r="C391" s="265" t="s">
        <v>14</v>
      </c>
      <c r="D391" s="265" t="s">
        <v>28</v>
      </c>
      <c r="E391" s="265" t="s">
        <v>429</v>
      </c>
      <c r="F391" s="380">
        <v>800</v>
      </c>
      <c r="G391" s="311"/>
      <c r="H391" s="311">
        <v>90.9</v>
      </c>
      <c r="I391" s="320"/>
      <c r="J391" s="320">
        <v>90.9</v>
      </c>
      <c r="K391" s="409"/>
      <c r="L391" s="409"/>
      <c r="M391" s="323"/>
      <c r="N391" s="323"/>
      <c r="O391" s="313"/>
      <c r="P391" s="313"/>
      <c r="Q391" s="323"/>
      <c r="R391" s="323"/>
      <c r="S391" s="313"/>
      <c r="T391" s="313"/>
      <c r="U391" s="131">
        <f t="shared" si="168"/>
        <v>90.9</v>
      </c>
      <c r="V391" s="131">
        <f t="shared" si="169"/>
        <v>90.9</v>
      </c>
    </row>
    <row r="392" spans="1:22" s="80" customFormat="1" x14ac:dyDescent="0.25">
      <c r="A392" s="78" t="s">
        <v>129</v>
      </c>
      <c r="B392" s="79" t="s">
        <v>76</v>
      </c>
      <c r="C392" s="79" t="s">
        <v>14</v>
      </c>
      <c r="D392" s="79" t="s">
        <v>28</v>
      </c>
      <c r="E392" s="79" t="s">
        <v>430</v>
      </c>
      <c r="F392" s="79" t="s">
        <v>9</v>
      </c>
      <c r="G392" s="316">
        <f t="shared" ref="G392:T392" si="191">G393+G394+G395</f>
        <v>0</v>
      </c>
      <c r="H392" s="316">
        <f t="shared" si="191"/>
        <v>8742.69</v>
      </c>
      <c r="I392" s="338">
        <f t="shared" si="191"/>
        <v>0</v>
      </c>
      <c r="J392" s="338">
        <f t="shared" si="191"/>
        <v>7178.9687699999995</v>
      </c>
      <c r="K392" s="408">
        <f t="shared" si="191"/>
        <v>0</v>
      </c>
      <c r="L392" s="408">
        <f t="shared" si="191"/>
        <v>0</v>
      </c>
      <c r="M392" s="322">
        <f t="shared" si="191"/>
        <v>0</v>
      </c>
      <c r="N392" s="322">
        <f t="shared" si="191"/>
        <v>0</v>
      </c>
      <c r="O392" s="312">
        <f t="shared" si="191"/>
        <v>0</v>
      </c>
      <c r="P392" s="312">
        <f t="shared" si="191"/>
        <v>0</v>
      </c>
      <c r="Q392" s="322">
        <f t="shared" si="191"/>
        <v>0</v>
      </c>
      <c r="R392" s="322">
        <f t="shared" si="191"/>
        <v>0</v>
      </c>
      <c r="S392" s="312">
        <f t="shared" si="191"/>
        <v>0</v>
      </c>
      <c r="T392" s="312">
        <f t="shared" si="191"/>
        <v>0</v>
      </c>
      <c r="U392" s="132">
        <f t="shared" si="168"/>
        <v>8742.69</v>
      </c>
      <c r="V392" s="132">
        <f t="shared" si="169"/>
        <v>7178.9687699999995</v>
      </c>
    </row>
    <row r="393" spans="1:22" s="77" customFormat="1" ht="63" x14ac:dyDescent="0.25">
      <c r="A393" s="74" t="s">
        <v>115</v>
      </c>
      <c r="B393" s="75" t="s">
        <v>76</v>
      </c>
      <c r="C393" s="75" t="s">
        <v>14</v>
      </c>
      <c r="D393" s="75" t="s">
        <v>28</v>
      </c>
      <c r="E393" s="75" t="s">
        <v>430</v>
      </c>
      <c r="F393" s="75" t="s">
        <v>113</v>
      </c>
      <c r="G393" s="311"/>
      <c r="H393" s="311">
        <v>4352.5</v>
      </c>
      <c r="I393" s="320"/>
      <c r="J393" s="320">
        <v>4352.5</v>
      </c>
      <c r="K393" s="409"/>
      <c r="L393" s="409"/>
      <c r="M393" s="323"/>
      <c r="N393" s="321"/>
      <c r="O393" s="313"/>
      <c r="P393" s="313"/>
      <c r="Q393" s="323"/>
      <c r="R393" s="323"/>
      <c r="S393" s="313"/>
      <c r="T393" s="313"/>
      <c r="U393" s="131">
        <f t="shared" si="168"/>
        <v>4352.5</v>
      </c>
      <c r="V393" s="131">
        <f t="shared" si="169"/>
        <v>4352.5</v>
      </c>
    </row>
    <row r="394" spans="1:22" s="80" customFormat="1" ht="31.5" x14ac:dyDescent="0.25">
      <c r="A394" s="74" t="s">
        <v>124</v>
      </c>
      <c r="B394" s="75" t="s">
        <v>76</v>
      </c>
      <c r="C394" s="75" t="s">
        <v>14</v>
      </c>
      <c r="D394" s="75" t="s">
        <v>28</v>
      </c>
      <c r="E394" s="75" t="s">
        <v>430</v>
      </c>
      <c r="F394" s="75" t="s">
        <v>117</v>
      </c>
      <c r="G394" s="311"/>
      <c r="H394" s="311">
        <f>6243.65-2219.03+93.87</f>
        <v>4118.49</v>
      </c>
      <c r="I394" s="320"/>
      <c r="J394" s="319">
        <f>6243.65-2100-1588.88123</f>
        <v>2554.7687699999997</v>
      </c>
      <c r="K394" s="409"/>
      <c r="L394" s="407"/>
      <c r="M394" s="323"/>
      <c r="N394" s="321"/>
      <c r="O394" s="313"/>
      <c r="P394" s="313"/>
      <c r="Q394" s="323"/>
      <c r="R394" s="323"/>
      <c r="S394" s="313"/>
      <c r="T394" s="313"/>
      <c r="U394" s="131">
        <f t="shared" si="168"/>
        <v>4118.49</v>
      </c>
      <c r="V394" s="131">
        <f t="shared" si="169"/>
        <v>2554.7687699999997</v>
      </c>
    </row>
    <row r="395" spans="1:22" s="77" customFormat="1" x14ac:dyDescent="0.25">
      <c r="A395" s="74" t="s">
        <v>116</v>
      </c>
      <c r="B395" s="75" t="s">
        <v>76</v>
      </c>
      <c r="C395" s="75" t="s">
        <v>14</v>
      </c>
      <c r="D395" s="75" t="s">
        <v>28</v>
      </c>
      <c r="E395" s="75" t="s">
        <v>430</v>
      </c>
      <c r="F395" s="75" t="s">
        <v>114</v>
      </c>
      <c r="G395" s="311"/>
      <c r="H395" s="311">
        <v>271.7</v>
      </c>
      <c r="I395" s="320"/>
      <c r="J395" s="320">
        <v>271.7</v>
      </c>
      <c r="K395" s="409"/>
      <c r="L395" s="409"/>
      <c r="M395" s="323"/>
      <c r="N395" s="323"/>
      <c r="O395" s="313"/>
      <c r="P395" s="313"/>
      <c r="Q395" s="323"/>
      <c r="R395" s="323"/>
      <c r="S395" s="313"/>
      <c r="T395" s="313"/>
      <c r="U395" s="131">
        <f t="shared" si="168"/>
        <v>271.7</v>
      </c>
      <c r="V395" s="131">
        <f t="shared" si="169"/>
        <v>271.7</v>
      </c>
    </row>
    <row r="396" spans="1:22" s="77" customFormat="1" ht="15.75" customHeight="1" outlineLevel="1" x14ac:dyDescent="0.25">
      <c r="A396" s="78" t="s">
        <v>129</v>
      </c>
      <c r="B396" s="79" t="s">
        <v>76</v>
      </c>
      <c r="C396" s="79" t="s">
        <v>14</v>
      </c>
      <c r="D396" s="79" t="s">
        <v>28</v>
      </c>
      <c r="E396" s="79" t="s">
        <v>523</v>
      </c>
      <c r="F396" s="79" t="s">
        <v>9</v>
      </c>
      <c r="G396" s="316">
        <f t="shared" ref="G396:T396" si="192">G398+G399+G397</f>
        <v>0</v>
      </c>
      <c r="H396" s="316">
        <f t="shared" si="192"/>
        <v>0</v>
      </c>
      <c r="I396" s="338">
        <f t="shared" si="192"/>
        <v>0</v>
      </c>
      <c r="J396" s="338">
        <f t="shared" si="192"/>
        <v>0</v>
      </c>
      <c r="K396" s="408">
        <f t="shared" si="192"/>
        <v>0</v>
      </c>
      <c r="L396" s="408">
        <f t="shared" si="192"/>
        <v>0</v>
      </c>
      <c r="M396" s="322">
        <f t="shared" si="192"/>
        <v>0</v>
      </c>
      <c r="N396" s="322">
        <f t="shared" si="192"/>
        <v>0</v>
      </c>
      <c r="O396" s="312">
        <f t="shared" si="192"/>
        <v>0</v>
      </c>
      <c r="P396" s="312">
        <f t="shared" si="192"/>
        <v>0</v>
      </c>
      <c r="Q396" s="322">
        <f t="shared" si="192"/>
        <v>0</v>
      </c>
      <c r="R396" s="322">
        <f t="shared" si="192"/>
        <v>0</v>
      </c>
      <c r="S396" s="312">
        <f t="shared" si="192"/>
        <v>0</v>
      </c>
      <c r="T396" s="312">
        <f t="shared" si="192"/>
        <v>0</v>
      </c>
      <c r="U396" s="132">
        <f t="shared" si="168"/>
        <v>0</v>
      </c>
      <c r="V396" s="132">
        <f t="shared" si="169"/>
        <v>0</v>
      </c>
    </row>
    <row r="397" spans="1:22" s="77" customFormat="1" ht="63" customHeight="1" outlineLevel="1" x14ac:dyDescent="0.25">
      <c r="A397" s="74" t="s">
        <v>115</v>
      </c>
      <c r="B397" s="75" t="s">
        <v>76</v>
      </c>
      <c r="C397" s="75" t="s">
        <v>14</v>
      </c>
      <c r="D397" s="75" t="s">
        <v>28</v>
      </c>
      <c r="E397" s="75" t="s">
        <v>523</v>
      </c>
      <c r="F397" s="75" t="s">
        <v>113</v>
      </c>
      <c r="G397" s="311"/>
      <c r="H397" s="311"/>
      <c r="I397" s="320"/>
      <c r="J397" s="320"/>
      <c r="K397" s="409"/>
      <c r="L397" s="409"/>
      <c r="M397" s="323"/>
      <c r="N397" s="323"/>
      <c r="O397" s="313"/>
      <c r="P397" s="313"/>
      <c r="Q397" s="323"/>
      <c r="R397" s="323"/>
      <c r="S397" s="313"/>
      <c r="T397" s="313"/>
      <c r="U397" s="131">
        <f t="shared" si="168"/>
        <v>0</v>
      </c>
      <c r="V397" s="131">
        <f t="shared" si="169"/>
        <v>0</v>
      </c>
    </row>
    <row r="398" spans="1:22" s="77" customFormat="1" ht="31.5" customHeight="1" outlineLevel="1" x14ac:dyDescent="0.25">
      <c r="A398" s="74" t="s">
        <v>124</v>
      </c>
      <c r="B398" s="75" t="s">
        <v>76</v>
      </c>
      <c r="C398" s="75" t="s">
        <v>14</v>
      </c>
      <c r="D398" s="75" t="s">
        <v>28</v>
      </c>
      <c r="E398" s="75" t="s">
        <v>523</v>
      </c>
      <c r="F398" s="75" t="s">
        <v>117</v>
      </c>
      <c r="G398" s="311"/>
      <c r="H398" s="311"/>
      <c r="I398" s="320"/>
      <c r="J398" s="320"/>
      <c r="K398" s="409"/>
      <c r="L398" s="409"/>
      <c r="M398" s="323"/>
      <c r="N398" s="323"/>
      <c r="O398" s="313"/>
      <c r="P398" s="313"/>
      <c r="Q398" s="323"/>
      <c r="R398" s="323"/>
      <c r="S398" s="313"/>
      <c r="T398" s="313"/>
      <c r="U398" s="131">
        <f t="shared" si="168"/>
        <v>0</v>
      </c>
      <c r="V398" s="131">
        <f t="shared" si="169"/>
        <v>0</v>
      </c>
    </row>
    <row r="399" spans="1:22" s="77" customFormat="1" ht="15.75" customHeight="1" outlineLevel="1" x14ac:dyDescent="0.25">
      <c r="A399" s="74" t="s">
        <v>116</v>
      </c>
      <c r="B399" s="75" t="s">
        <v>76</v>
      </c>
      <c r="C399" s="75" t="s">
        <v>14</v>
      </c>
      <c r="D399" s="75" t="s">
        <v>28</v>
      </c>
      <c r="E399" s="75" t="s">
        <v>523</v>
      </c>
      <c r="F399" s="75" t="s">
        <v>114</v>
      </c>
      <c r="G399" s="311"/>
      <c r="H399" s="311"/>
      <c r="I399" s="320"/>
      <c r="J399" s="320"/>
      <c r="K399" s="409"/>
      <c r="L399" s="409"/>
      <c r="M399" s="323"/>
      <c r="N399" s="323"/>
      <c r="O399" s="313"/>
      <c r="P399" s="313"/>
      <c r="Q399" s="323"/>
      <c r="R399" s="323"/>
      <c r="S399" s="313"/>
      <c r="T399" s="313"/>
      <c r="U399" s="131">
        <f t="shared" si="168"/>
        <v>0</v>
      </c>
      <c r="V399" s="131">
        <f t="shared" si="169"/>
        <v>0</v>
      </c>
    </row>
    <row r="400" spans="1:22" s="80" customFormat="1" x14ac:dyDescent="0.25">
      <c r="A400" s="78" t="s">
        <v>682</v>
      </c>
      <c r="B400" s="79" t="s">
        <v>76</v>
      </c>
      <c r="C400" s="79" t="s">
        <v>14</v>
      </c>
      <c r="D400" s="79" t="s">
        <v>28</v>
      </c>
      <c r="E400" s="79" t="s">
        <v>681</v>
      </c>
      <c r="F400" s="79" t="s">
        <v>9</v>
      </c>
      <c r="G400" s="316">
        <f t="shared" ref="G400:T400" si="193">G401</f>
        <v>0</v>
      </c>
      <c r="H400" s="316">
        <f t="shared" si="193"/>
        <v>8058.3</v>
      </c>
      <c r="I400" s="338">
        <f t="shared" si="193"/>
        <v>0</v>
      </c>
      <c r="J400" s="338">
        <f t="shared" si="193"/>
        <v>8058.3</v>
      </c>
      <c r="K400" s="408">
        <f t="shared" si="193"/>
        <v>0</v>
      </c>
      <c r="L400" s="408">
        <f t="shared" si="193"/>
        <v>0</v>
      </c>
      <c r="M400" s="322">
        <f t="shared" si="193"/>
        <v>0</v>
      </c>
      <c r="N400" s="322">
        <f t="shared" si="193"/>
        <v>0</v>
      </c>
      <c r="O400" s="312">
        <f t="shared" si="193"/>
        <v>0</v>
      </c>
      <c r="P400" s="312">
        <f t="shared" si="193"/>
        <v>0</v>
      </c>
      <c r="Q400" s="322">
        <f t="shared" si="193"/>
        <v>0</v>
      </c>
      <c r="R400" s="322">
        <f t="shared" si="193"/>
        <v>0</v>
      </c>
      <c r="S400" s="312">
        <f t="shared" si="193"/>
        <v>0</v>
      </c>
      <c r="T400" s="312">
        <f t="shared" si="193"/>
        <v>0</v>
      </c>
      <c r="U400" s="132">
        <f t="shared" si="168"/>
        <v>8058.3</v>
      </c>
      <c r="V400" s="132">
        <f t="shared" si="169"/>
        <v>8058.3</v>
      </c>
    </row>
    <row r="401" spans="1:22" s="77" customFormat="1" ht="63" x14ac:dyDescent="0.25">
      <c r="A401" s="74" t="s">
        <v>115</v>
      </c>
      <c r="B401" s="75" t="s">
        <v>76</v>
      </c>
      <c r="C401" s="75" t="s">
        <v>14</v>
      </c>
      <c r="D401" s="75" t="s">
        <v>28</v>
      </c>
      <c r="E401" s="75" t="s">
        <v>681</v>
      </c>
      <c r="F401" s="75" t="s">
        <v>113</v>
      </c>
      <c r="G401" s="311"/>
      <c r="H401" s="311">
        <v>8058.3</v>
      </c>
      <c r="I401" s="320"/>
      <c r="J401" s="320">
        <v>8058.3</v>
      </c>
      <c r="K401" s="409"/>
      <c r="L401" s="409"/>
      <c r="M401" s="323"/>
      <c r="N401" s="321"/>
      <c r="O401" s="313"/>
      <c r="P401" s="313"/>
      <c r="Q401" s="323"/>
      <c r="R401" s="323"/>
      <c r="S401" s="313"/>
      <c r="T401" s="313"/>
      <c r="U401" s="131">
        <f t="shared" si="168"/>
        <v>8058.3</v>
      </c>
      <c r="V401" s="131">
        <f t="shared" si="169"/>
        <v>8058.3</v>
      </c>
    </row>
    <row r="402" spans="1:22" s="77" customFormat="1" x14ac:dyDescent="0.25">
      <c r="A402" s="78" t="s">
        <v>354</v>
      </c>
      <c r="B402" s="79" t="s">
        <v>76</v>
      </c>
      <c r="C402" s="79" t="s">
        <v>14</v>
      </c>
      <c r="D402" s="79" t="s">
        <v>28</v>
      </c>
      <c r="E402" s="79" t="s">
        <v>431</v>
      </c>
      <c r="F402" s="79" t="s">
        <v>9</v>
      </c>
      <c r="G402" s="316">
        <f t="shared" ref="G402:T402" si="194">G403+G404+G405</f>
        <v>0</v>
      </c>
      <c r="H402" s="316">
        <f t="shared" si="194"/>
        <v>1908</v>
      </c>
      <c r="I402" s="338">
        <f t="shared" si="194"/>
        <v>0</v>
      </c>
      <c r="J402" s="338">
        <f t="shared" si="194"/>
        <v>1908</v>
      </c>
      <c r="K402" s="408">
        <f t="shared" si="194"/>
        <v>0</v>
      </c>
      <c r="L402" s="408">
        <f t="shared" si="194"/>
        <v>0</v>
      </c>
      <c r="M402" s="322">
        <f t="shared" si="194"/>
        <v>0</v>
      </c>
      <c r="N402" s="322">
        <f t="shared" si="194"/>
        <v>0</v>
      </c>
      <c r="O402" s="312">
        <f t="shared" si="194"/>
        <v>0</v>
      </c>
      <c r="P402" s="312">
        <f t="shared" si="194"/>
        <v>0</v>
      </c>
      <c r="Q402" s="322">
        <f t="shared" si="194"/>
        <v>0</v>
      </c>
      <c r="R402" s="322">
        <f t="shared" si="194"/>
        <v>0</v>
      </c>
      <c r="S402" s="312">
        <f t="shared" si="194"/>
        <v>0</v>
      </c>
      <c r="T402" s="312">
        <f t="shared" si="194"/>
        <v>0</v>
      </c>
      <c r="U402" s="132">
        <f t="shared" si="168"/>
        <v>1908</v>
      </c>
      <c r="V402" s="132">
        <f t="shared" si="169"/>
        <v>1908</v>
      </c>
    </row>
    <row r="403" spans="1:22" s="77" customFormat="1" ht="63" x14ac:dyDescent="0.25">
      <c r="A403" s="74" t="s">
        <v>115</v>
      </c>
      <c r="B403" s="75" t="s">
        <v>76</v>
      </c>
      <c r="C403" s="75" t="s">
        <v>14</v>
      </c>
      <c r="D403" s="75" t="s">
        <v>28</v>
      </c>
      <c r="E403" s="75" t="s">
        <v>431</v>
      </c>
      <c r="F403" s="75" t="s">
        <v>113</v>
      </c>
      <c r="G403" s="311"/>
      <c r="H403" s="311">
        <v>1506.1</v>
      </c>
      <c r="I403" s="320"/>
      <c r="J403" s="320">
        <v>1506.1</v>
      </c>
      <c r="K403" s="409"/>
      <c r="L403" s="409"/>
      <c r="M403" s="323"/>
      <c r="N403" s="323"/>
      <c r="O403" s="313"/>
      <c r="P403" s="313"/>
      <c r="Q403" s="323"/>
      <c r="R403" s="323"/>
      <c r="S403" s="313"/>
      <c r="T403" s="313"/>
      <c r="U403" s="131">
        <f t="shared" si="168"/>
        <v>1506.1</v>
      </c>
      <c r="V403" s="131">
        <f t="shared" si="169"/>
        <v>1506.1</v>
      </c>
    </row>
    <row r="404" spans="1:22" s="77" customFormat="1" ht="31.5" x14ac:dyDescent="0.25">
      <c r="A404" s="74" t="s">
        <v>124</v>
      </c>
      <c r="B404" s="75" t="s">
        <v>76</v>
      </c>
      <c r="C404" s="75" t="s">
        <v>14</v>
      </c>
      <c r="D404" s="75" t="s">
        <v>28</v>
      </c>
      <c r="E404" s="75" t="s">
        <v>431</v>
      </c>
      <c r="F404" s="75" t="s">
        <v>117</v>
      </c>
      <c r="G404" s="311"/>
      <c r="H404" s="311">
        <v>395.4</v>
      </c>
      <c r="I404" s="320"/>
      <c r="J404" s="320">
        <v>395.4</v>
      </c>
      <c r="K404" s="409"/>
      <c r="L404" s="409"/>
      <c r="M404" s="323"/>
      <c r="N404" s="323"/>
      <c r="O404" s="313"/>
      <c r="P404" s="313"/>
      <c r="Q404" s="323"/>
      <c r="R404" s="323"/>
      <c r="S404" s="313"/>
      <c r="T404" s="313"/>
      <c r="U404" s="131">
        <f t="shared" si="168"/>
        <v>395.4</v>
      </c>
      <c r="V404" s="131">
        <f t="shared" si="169"/>
        <v>395.4</v>
      </c>
    </row>
    <row r="405" spans="1:22" s="80" customFormat="1" x14ac:dyDescent="0.25">
      <c r="A405" s="74" t="s">
        <v>116</v>
      </c>
      <c r="B405" s="75" t="s">
        <v>76</v>
      </c>
      <c r="C405" s="75" t="s">
        <v>14</v>
      </c>
      <c r="D405" s="75" t="s">
        <v>28</v>
      </c>
      <c r="E405" s="75" t="s">
        <v>431</v>
      </c>
      <c r="F405" s="75" t="s">
        <v>114</v>
      </c>
      <c r="G405" s="311"/>
      <c r="H405" s="311">
        <v>6.5</v>
      </c>
      <c r="I405" s="320"/>
      <c r="J405" s="320">
        <v>6.5</v>
      </c>
      <c r="K405" s="409"/>
      <c r="L405" s="409"/>
      <c r="M405" s="323"/>
      <c r="N405" s="323"/>
      <c r="O405" s="313"/>
      <c r="P405" s="313"/>
      <c r="Q405" s="323"/>
      <c r="R405" s="323"/>
      <c r="S405" s="313"/>
      <c r="T405" s="313"/>
      <c r="U405" s="131">
        <f t="shared" si="168"/>
        <v>6.5</v>
      </c>
      <c r="V405" s="131">
        <f t="shared" si="169"/>
        <v>6.5</v>
      </c>
    </row>
    <row r="406" spans="1:22" s="80" customFormat="1" ht="15.75" customHeight="1" outlineLevel="1" x14ac:dyDescent="0.25">
      <c r="A406" s="78" t="s">
        <v>354</v>
      </c>
      <c r="B406" s="79" t="s">
        <v>76</v>
      </c>
      <c r="C406" s="79" t="s">
        <v>14</v>
      </c>
      <c r="D406" s="79" t="s">
        <v>28</v>
      </c>
      <c r="E406" s="79" t="s">
        <v>524</v>
      </c>
      <c r="F406" s="79" t="s">
        <v>9</v>
      </c>
      <c r="G406" s="316">
        <f t="shared" ref="G406:T406" si="195">G407</f>
        <v>0</v>
      </c>
      <c r="H406" s="316">
        <f t="shared" si="195"/>
        <v>0</v>
      </c>
      <c r="I406" s="338">
        <f t="shared" si="195"/>
        <v>0</v>
      </c>
      <c r="J406" s="338">
        <f t="shared" si="195"/>
        <v>0</v>
      </c>
      <c r="K406" s="408">
        <f t="shared" si="195"/>
        <v>0</v>
      </c>
      <c r="L406" s="408">
        <f t="shared" si="195"/>
        <v>0</v>
      </c>
      <c r="M406" s="322">
        <f t="shared" si="195"/>
        <v>0</v>
      </c>
      <c r="N406" s="322">
        <f t="shared" si="195"/>
        <v>0</v>
      </c>
      <c r="O406" s="312">
        <f t="shared" si="195"/>
        <v>0</v>
      </c>
      <c r="P406" s="312">
        <f t="shared" si="195"/>
        <v>0</v>
      </c>
      <c r="Q406" s="322">
        <f t="shared" si="195"/>
        <v>0</v>
      </c>
      <c r="R406" s="322">
        <f t="shared" si="195"/>
        <v>0</v>
      </c>
      <c r="S406" s="312">
        <f t="shared" si="195"/>
        <v>0</v>
      </c>
      <c r="T406" s="312">
        <f t="shared" si="195"/>
        <v>0</v>
      </c>
      <c r="U406" s="132">
        <f t="shared" si="168"/>
        <v>0</v>
      </c>
      <c r="V406" s="132">
        <f t="shared" si="169"/>
        <v>0</v>
      </c>
    </row>
    <row r="407" spans="1:22" s="77" customFormat="1" ht="63" customHeight="1" outlineLevel="1" x14ac:dyDescent="0.25">
      <c r="A407" s="74" t="s">
        <v>116</v>
      </c>
      <c r="B407" s="75" t="s">
        <v>76</v>
      </c>
      <c r="C407" s="75" t="s">
        <v>14</v>
      </c>
      <c r="D407" s="75" t="s">
        <v>28</v>
      </c>
      <c r="E407" s="75" t="s">
        <v>524</v>
      </c>
      <c r="F407" s="75" t="s">
        <v>114</v>
      </c>
      <c r="G407" s="311"/>
      <c r="H407" s="311"/>
      <c r="I407" s="320"/>
      <c r="J407" s="320"/>
      <c r="K407" s="409"/>
      <c r="L407" s="409"/>
      <c r="M407" s="323"/>
      <c r="N407" s="323"/>
      <c r="O407" s="313"/>
      <c r="P407" s="313"/>
      <c r="Q407" s="323"/>
      <c r="R407" s="323"/>
      <c r="S407" s="313"/>
      <c r="T407" s="313"/>
      <c r="U407" s="131">
        <f t="shared" si="168"/>
        <v>0</v>
      </c>
      <c r="V407" s="131">
        <f t="shared" si="169"/>
        <v>0</v>
      </c>
    </row>
    <row r="408" spans="1:22" s="77" customFormat="1" ht="31.5" customHeight="1" outlineLevel="1" x14ac:dyDescent="0.25">
      <c r="A408" s="78" t="s">
        <v>132</v>
      </c>
      <c r="B408" s="79" t="s">
        <v>76</v>
      </c>
      <c r="C408" s="79" t="s">
        <v>14</v>
      </c>
      <c r="D408" s="79" t="s">
        <v>28</v>
      </c>
      <c r="E408" s="79" t="s">
        <v>432</v>
      </c>
      <c r="F408" s="79" t="s">
        <v>9</v>
      </c>
      <c r="G408" s="316">
        <f t="shared" ref="G408:T408" si="196">G409</f>
        <v>0</v>
      </c>
      <c r="H408" s="316">
        <f t="shared" si="196"/>
        <v>0</v>
      </c>
      <c r="I408" s="338">
        <f t="shared" si="196"/>
        <v>0</v>
      </c>
      <c r="J408" s="338">
        <f t="shared" si="196"/>
        <v>0</v>
      </c>
      <c r="K408" s="408">
        <f t="shared" si="196"/>
        <v>0</v>
      </c>
      <c r="L408" s="408">
        <f t="shared" si="196"/>
        <v>0</v>
      </c>
      <c r="M408" s="322">
        <f t="shared" si="196"/>
        <v>0</v>
      </c>
      <c r="N408" s="322">
        <f t="shared" si="196"/>
        <v>0</v>
      </c>
      <c r="O408" s="312">
        <f t="shared" si="196"/>
        <v>0</v>
      </c>
      <c r="P408" s="312">
        <f t="shared" si="196"/>
        <v>0</v>
      </c>
      <c r="Q408" s="322">
        <f t="shared" si="196"/>
        <v>0</v>
      </c>
      <c r="R408" s="322">
        <f t="shared" si="196"/>
        <v>0</v>
      </c>
      <c r="S408" s="312">
        <f t="shared" si="196"/>
        <v>0</v>
      </c>
      <c r="T408" s="312">
        <f t="shared" si="196"/>
        <v>0</v>
      </c>
      <c r="U408" s="132">
        <f t="shared" si="168"/>
        <v>0</v>
      </c>
      <c r="V408" s="132">
        <f t="shared" si="169"/>
        <v>0</v>
      </c>
    </row>
    <row r="409" spans="1:22" s="77" customFormat="1" ht="31.5" customHeight="1" outlineLevel="1" x14ac:dyDescent="0.25">
      <c r="A409" s="74" t="s">
        <v>124</v>
      </c>
      <c r="B409" s="75" t="s">
        <v>76</v>
      </c>
      <c r="C409" s="75" t="s">
        <v>14</v>
      </c>
      <c r="D409" s="75" t="s">
        <v>28</v>
      </c>
      <c r="E409" s="75" t="s">
        <v>432</v>
      </c>
      <c r="F409" s="75" t="s">
        <v>117</v>
      </c>
      <c r="G409" s="311"/>
      <c r="H409" s="311"/>
      <c r="I409" s="320"/>
      <c r="J409" s="320"/>
      <c r="K409" s="409"/>
      <c r="L409" s="409"/>
      <c r="M409" s="323"/>
      <c r="N409" s="323"/>
      <c r="O409" s="313"/>
      <c r="P409" s="313"/>
      <c r="Q409" s="323"/>
      <c r="R409" s="323"/>
      <c r="S409" s="313"/>
      <c r="T409" s="313"/>
      <c r="U409" s="131">
        <f t="shared" si="168"/>
        <v>0</v>
      </c>
      <c r="V409" s="131">
        <f t="shared" si="169"/>
        <v>0</v>
      </c>
    </row>
    <row r="410" spans="1:22" s="77" customFormat="1" ht="15.75" customHeight="1" outlineLevel="1" x14ac:dyDescent="0.25">
      <c r="A410" s="78" t="s">
        <v>692</v>
      </c>
      <c r="B410" s="79" t="s">
        <v>76</v>
      </c>
      <c r="C410" s="79" t="s">
        <v>14</v>
      </c>
      <c r="D410" s="79" t="s">
        <v>28</v>
      </c>
      <c r="E410" s="79" t="s">
        <v>381</v>
      </c>
      <c r="F410" s="79" t="s">
        <v>9</v>
      </c>
      <c r="G410" s="311">
        <f t="shared" ref="G410:T411" si="197">G411</f>
        <v>0</v>
      </c>
      <c r="H410" s="311">
        <f t="shared" si="197"/>
        <v>0</v>
      </c>
      <c r="I410" s="320">
        <f t="shared" si="197"/>
        <v>0</v>
      </c>
      <c r="J410" s="320">
        <f t="shared" si="197"/>
        <v>0</v>
      </c>
      <c r="K410" s="407">
        <f t="shared" si="197"/>
        <v>0</v>
      </c>
      <c r="L410" s="407">
        <f t="shared" si="197"/>
        <v>0</v>
      </c>
      <c r="M410" s="321">
        <f t="shared" si="197"/>
        <v>0</v>
      </c>
      <c r="N410" s="321">
        <f t="shared" si="197"/>
        <v>0</v>
      </c>
      <c r="O410" s="310">
        <f t="shared" si="197"/>
        <v>0</v>
      </c>
      <c r="P410" s="310">
        <f t="shared" si="197"/>
        <v>0</v>
      </c>
      <c r="Q410" s="321">
        <f t="shared" si="197"/>
        <v>0</v>
      </c>
      <c r="R410" s="321">
        <f t="shared" si="197"/>
        <v>0</v>
      </c>
      <c r="S410" s="310">
        <f t="shared" si="197"/>
        <v>0</v>
      </c>
      <c r="T410" s="310">
        <f t="shared" si="197"/>
        <v>0</v>
      </c>
      <c r="U410" s="132">
        <f t="shared" si="168"/>
        <v>0</v>
      </c>
      <c r="V410" s="132">
        <f t="shared" si="169"/>
        <v>0</v>
      </c>
    </row>
    <row r="411" spans="1:22" s="80" customFormat="1" ht="31.5" customHeight="1" outlineLevel="1" x14ac:dyDescent="0.25">
      <c r="A411" s="78" t="s">
        <v>847</v>
      </c>
      <c r="B411" s="79" t="s">
        <v>76</v>
      </c>
      <c r="C411" s="79" t="s">
        <v>14</v>
      </c>
      <c r="D411" s="79" t="s">
        <v>28</v>
      </c>
      <c r="E411" s="79" t="s">
        <v>846</v>
      </c>
      <c r="F411" s="79" t="s">
        <v>9</v>
      </c>
      <c r="G411" s="316">
        <f t="shared" si="197"/>
        <v>0</v>
      </c>
      <c r="H411" s="316">
        <f t="shared" si="197"/>
        <v>0</v>
      </c>
      <c r="I411" s="338">
        <f t="shared" si="197"/>
        <v>0</v>
      </c>
      <c r="J411" s="338">
        <f t="shared" si="197"/>
        <v>0</v>
      </c>
      <c r="K411" s="408">
        <f t="shared" si="197"/>
        <v>0</v>
      </c>
      <c r="L411" s="408">
        <f t="shared" si="197"/>
        <v>0</v>
      </c>
      <c r="M411" s="322">
        <f t="shared" si="197"/>
        <v>0</v>
      </c>
      <c r="N411" s="322">
        <f t="shared" si="197"/>
        <v>0</v>
      </c>
      <c r="O411" s="312">
        <f t="shared" si="197"/>
        <v>0</v>
      </c>
      <c r="P411" s="312">
        <f t="shared" si="197"/>
        <v>0</v>
      </c>
      <c r="Q411" s="322">
        <f t="shared" si="197"/>
        <v>0</v>
      </c>
      <c r="R411" s="322">
        <f t="shared" si="197"/>
        <v>0</v>
      </c>
      <c r="S411" s="312">
        <f t="shared" si="197"/>
        <v>0</v>
      </c>
      <c r="T411" s="312">
        <f t="shared" si="197"/>
        <v>0</v>
      </c>
      <c r="U411" s="132">
        <f t="shared" si="168"/>
        <v>0</v>
      </c>
      <c r="V411" s="132">
        <f t="shared" si="169"/>
        <v>0</v>
      </c>
    </row>
    <row r="412" spans="1:22" s="80" customFormat="1" ht="31.5" customHeight="1" outlineLevel="1" x14ac:dyDescent="0.25">
      <c r="A412" s="74" t="s">
        <v>124</v>
      </c>
      <c r="B412" s="75" t="s">
        <v>76</v>
      </c>
      <c r="C412" s="75" t="s">
        <v>14</v>
      </c>
      <c r="D412" s="75" t="s">
        <v>28</v>
      </c>
      <c r="E412" s="75" t="s">
        <v>846</v>
      </c>
      <c r="F412" s="75" t="s">
        <v>117</v>
      </c>
      <c r="G412" s="311"/>
      <c r="H412" s="311"/>
      <c r="I412" s="320"/>
      <c r="J412" s="320"/>
      <c r="K412" s="409"/>
      <c r="L412" s="409"/>
      <c r="M412" s="323"/>
      <c r="N412" s="323"/>
      <c r="O412" s="313"/>
      <c r="P412" s="313"/>
      <c r="Q412" s="323"/>
      <c r="R412" s="323"/>
      <c r="S412" s="313"/>
      <c r="T412" s="313"/>
      <c r="U412" s="131">
        <f t="shared" si="168"/>
        <v>0</v>
      </c>
      <c r="V412" s="131">
        <f t="shared" si="169"/>
        <v>0</v>
      </c>
    </row>
    <row r="413" spans="1:22" s="80" customFormat="1" ht="15.75" customHeight="1" outlineLevel="1" x14ac:dyDescent="0.25">
      <c r="A413" s="78" t="s">
        <v>15</v>
      </c>
      <c r="B413" s="79" t="s">
        <v>76</v>
      </c>
      <c r="C413" s="79" t="s">
        <v>14</v>
      </c>
      <c r="D413" s="79" t="s">
        <v>28</v>
      </c>
      <c r="E413" s="79" t="s">
        <v>433</v>
      </c>
      <c r="F413" s="79" t="s">
        <v>9</v>
      </c>
      <c r="G413" s="316">
        <f t="shared" ref="G413:T413" si="198">G414+G416</f>
        <v>0</v>
      </c>
      <c r="H413" s="316">
        <f>H414+H416</f>
        <v>12.5</v>
      </c>
      <c r="I413" s="338">
        <f t="shared" si="198"/>
        <v>0</v>
      </c>
      <c r="J413" s="338">
        <f>J414+J416</f>
        <v>12.5</v>
      </c>
      <c r="K413" s="408">
        <f t="shared" si="198"/>
        <v>0</v>
      </c>
      <c r="L413" s="408">
        <f t="shared" si="198"/>
        <v>0</v>
      </c>
      <c r="M413" s="322">
        <f t="shared" si="198"/>
        <v>0</v>
      </c>
      <c r="N413" s="322">
        <f t="shared" si="198"/>
        <v>0</v>
      </c>
      <c r="O413" s="312">
        <f t="shared" si="198"/>
        <v>0</v>
      </c>
      <c r="P413" s="312">
        <f t="shared" si="198"/>
        <v>0</v>
      </c>
      <c r="Q413" s="322">
        <f t="shared" si="198"/>
        <v>0</v>
      </c>
      <c r="R413" s="322">
        <f t="shared" si="198"/>
        <v>0</v>
      </c>
      <c r="S413" s="312">
        <f t="shared" si="198"/>
        <v>0</v>
      </c>
      <c r="T413" s="312">
        <f t="shared" si="198"/>
        <v>0</v>
      </c>
      <c r="U413" s="132">
        <f t="shared" si="168"/>
        <v>12.5</v>
      </c>
      <c r="V413" s="132">
        <f t="shared" si="169"/>
        <v>12.5</v>
      </c>
    </row>
    <row r="414" spans="1:22" s="80" customFormat="1" ht="47.25" customHeight="1" outlineLevel="1" x14ac:dyDescent="0.25">
      <c r="A414" s="78" t="s">
        <v>78</v>
      </c>
      <c r="B414" s="79" t="s">
        <v>76</v>
      </c>
      <c r="C414" s="79" t="s">
        <v>14</v>
      </c>
      <c r="D414" s="79" t="s">
        <v>28</v>
      </c>
      <c r="E414" s="79" t="s">
        <v>434</v>
      </c>
      <c r="F414" s="79" t="s">
        <v>9</v>
      </c>
      <c r="G414" s="316">
        <f t="shared" ref="G414:T414" si="199">G415</f>
        <v>0</v>
      </c>
      <c r="H414" s="316">
        <f t="shared" si="199"/>
        <v>10</v>
      </c>
      <c r="I414" s="338">
        <f t="shared" si="199"/>
        <v>0</v>
      </c>
      <c r="J414" s="338">
        <f t="shared" si="199"/>
        <v>10</v>
      </c>
      <c r="K414" s="408">
        <f t="shared" si="199"/>
        <v>0</v>
      </c>
      <c r="L414" s="408">
        <f t="shared" si="199"/>
        <v>0</v>
      </c>
      <c r="M414" s="322">
        <f t="shared" si="199"/>
        <v>0</v>
      </c>
      <c r="N414" s="322">
        <f t="shared" si="199"/>
        <v>0</v>
      </c>
      <c r="O414" s="312">
        <f t="shared" si="199"/>
        <v>0</v>
      </c>
      <c r="P414" s="312">
        <f t="shared" si="199"/>
        <v>0</v>
      </c>
      <c r="Q414" s="322">
        <f t="shared" si="199"/>
        <v>0</v>
      </c>
      <c r="R414" s="322">
        <f t="shared" si="199"/>
        <v>0</v>
      </c>
      <c r="S414" s="312">
        <f t="shared" si="199"/>
        <v>0</v>
      </c>
      <c r="T414" s="312">
        <f t="shared" si="199"/>
        <v>0</v>
      </c>
      <c r="U414" s="132">
        <f t="shared" si="168"/>
        <v>10</v>
      </c>
      <c r="V414" s="132">
        <f t="shared" si="169"/>
        <v>10</v>
      </c>
    </row>
    <row r="415" spans="1:22" s="77" customFormat="1" ht="31.5" customHeight="1" outlineLevel="1" x14ac:dyDescent="0.25">
      <c r="A415" s="264" t="s">
        <v>124</v>
      </c>
      <c r="B415" s="265" t="s">
        <v>76</v>
      </c>
      <c r="C415" s="265" t="s">
        <v>14</v>
      </c>
      <c r="D415" s="265" t="s">
        <v>28</v>
      </c>
      <c r="E415" s="265" t="s">
        <v>434</v>
      </c>
      <c r="F415" s="265" t="s">
        <v>117</v>
      </c>
      <c r="G415" s="311"/>
      <c r="H415" s="311">
        <v>10</v>
      </c>
      <c r="I415" s="320"/>
      <c r="J415" s="320">
        <v>10</v>
      </c>
      <c r="K415" s="409"/>
      <c r="L415" s="409"/>
      <c r="M415" s="323"/>
      <c r="N415" s="323"/>
      <c r="O415" s="313"/>
      <c r="P415" s="313"/>
      <c r="Q415" s="323"/>
      <c r="R415" s="323"/>
      <c r="S415" s="313"/>
      <c r="T415" s="313"/>
      <c r="U415" s="131">
        <f t="shared" si="168"/>
        <v>10</v>
      </c>
      <c r="V415" s="131">
        <f t="shared" si="169"/>
        <v>10</v>
      </c>
    </row>
    <row r="416" spans="1:22" s="80" customFormat="1" ht="47.25" customHeight="1" outlineLevel="1" x14ac:dyDescent="0.25">
      <c r="A416" s="78" t="s">
        <v>502</v>
      </c>
      <c r="B416" s="79" t="s">
        <v>76</v>
      </c>
      <c r="C416" s="79" t="s">
        <v>14</v>
      </c>
      <c r="D416" s="79" t="s">
        <v>28</v>
      </c>
      <c r="E416" s="79" t="s">
        <v>494</v>
      </c>
      <c r="F416" s="79" t="s">
        <v>9</v>
      </c>
      <c r="G416" s="316">
        <f t="shared" ref="G416:T416" si="200">G417</f>
        <v>0</v>
      </c>
      <c r="H416" s="316">
        <f t="shared" si="200"/>
        <v>2.5</v>
      </c>
      <c r="I416" s="338">
        <f t="shared" si="200"/>
        <v>0</v>
      </c>
      <c r="J416" s="338">
        <f t="shared" si="200"/>
        <v>2.5</v>
      </c>
      <c r="K416" s="408">
        <f t="shared" si="200"/>
        <v>0</v>
      </c>
      <c r="L416" s="408">
        <f t="shared" si="200"/>
        <v>0</v>
      </c>
      <c r="M416" s="322">
        <f t="shared" si="200"/>
        <v>0</v>
      </c>
      <c r="N416" s="322">
        <f t="shared" si="200"/>
        <v>0</v>
      </c>
      <c r="O416" s="312">
        <f t="shared" si="200"/>
        <v>0</v>
      </c>
      <c r="P416" s="312">
        <f t="shared" si="200"/>
        <v>0</v>
      </c>
      <c r="Q416" s="322">
        <f t="shared" si="200"/>
        <v>0</v>
      </c>
      <c r="R416" s="322">
        <f t="shared" si="200"/>
        <v>0</v>
      </c>
      <c r="S416" s="312">
        <f t="shared" si="200"/>
        <v>0</v>
      </c>
      <c r="T416" s="312">
        <f t="shared" si="200"/>
        <v>0</v>
      </c>
      <c r="U416" s="132">
        <f t="shared" si="168"/>
        <v>2.5</v>
      </c>
      <c r="V416" s="132">
        <f t="shared" si="169"/>
        <v>2.5</v>
      </c>
    </row>
    <row r="417" spans="1:22" s="80" customFormat="1" ht="31.5" customHeight="1" outlineLevel="1" x14ac:dyDescent="0.25">
      <c r="A417" s="74" t="s">
        <v>124</v>
      </c>
      <c r="B417" s="75" t="s">
        <v>76</v>
      </c>
      <c r="C417" s="75" t="s">
        <v>14</v>
      </c>
      <c r="D417" s="75" t="s">
        <v>28</v>
      </c>
      <c r="E417" s="75" t="s">
        <v>494</v>
      </c>
      <c r="F417" s="75" t="s">
        <v>117</v>
      </c>
      <c r="G417" s="311"/>
      <c r="H417" s="311">
        <v>2.5</v>
      </c>
      <c r="I417" s="320"/>
      <c r="J417" s="320">
        <v>2.5</v>
      </c>
      <c r="K417" s="409"/>
      <c r="L417" s="409"/>
      <c r="M417" s="323"/>
      <c r="N417" s="323"/>
      <c r="O417" s="313"/>
      <c r="P417" s="313"/>
      <c r="Q417" s="323"/>
      <c r="R417" s="323"/>
      <c r="S417" s="313"/>
      <c r="T417" s="313"/>
      <c r="U417" s="131">
        <f t="shared" si="168"/>
        <v>2.5</v>
      </c>
      <c r="V417" s="131">
        <f t="shared" si="169"/>
        <v>2.5</v>
      </c>
    </row>
    <row r="418" spans="1:22" s="77" customFormat="1" x14ac:dyDescent="0.25">
      <c r="A418" s="74" t="s">
        <v>80</v>
      </c>
      <c r="B418" s="75" t="s">
        <v>76</v>
      </c>
      <c r="C418" s="75" t="s">
        <v>20</v>
      </c>
      <c r="D418" s="75" t="s">
        <v>10</v>
      </c>
      <c r="E418" s="75" t="s">
        <v>365</v>
      </c>
      <c r="F418" s="75" t="s">
        <v>9</v>
      </c>
      <c r="G418" s="311">
        <f t="shared" ref="G418:T418" si="201">G419+G428</f>
        <v>0</v>
      </c>
      <c r="H418" s="311">
        <f>H419+H428</f>
        <v>1536.8</v>
      </c>
      <c r="I418" s="320">
        <f t="shared" si="201"/>
        <v>0</v>
      </c>
      <c r="J418" s="320">
        <f>J419+J428</f>
        <v>1536.8</v>
      </c>
      <c r="K418" s="407">
        <f t="shared" si="201"/>
        <v>0</v>
      </c>
      <c r="L418" s="407">
        <f t="shared" si="201"/>
        <v>0</v>
      </c>
      <c r="M418" s="321">
        <f t="shared" si="201"/>
        <v>0</v>
      </c>
      <c r="N418" s="321">
        <f t="shared" si="201"/>
        <v>0</v>
      </c>
      <c r="O418" s="310">
        <f t="shared" si="201"/>
        <v>0</v>
      </c>
      <c r="P418" s="310">
        <f t="shared" si="201"/>
        <v>0</v>
      </c>
      <c r="Q418" s="321">
        <f t="shared" si="201"/>
        <v>0</v>
      </c>
      <c r="R418" s="321">
        <f t="shared" si="201"/>
        <v>0</v>
      </c>
      <c r="S418" s="310">
        <f t="shared" si="201"/>
        <v>0</v>
      </c>
      <c r="T418" s="310">
        <f t="shared" si="201"/>
        <v>0</v>
      </c>
      <c r="U418" s="131">
        <f t="shared" si="168"/>
        <v>1536.8</v>
      </c>
      <c r="V418" s="131">
        <f t="shared" si="169"/>
        <v>1536.8</v>
      </c>
    </row>
    <row r="419" spans="1:22" s="77" customFormat="1" ht="31.5" x14ac:dyDescent="0.25">
      <c r="A419" s="78" t="s">
        <v>891</v>
      </c>
      <c r="B419" s="79" t="s">
        <v>76</v>
      </c>
      <c r="C419" s="79" t="s">
        <v>20</v>
      </c>
      <c r="D419" s="79" t="s">
        <v>18</v>
      </c>
      <c r="E419" s="79" t="s">
        <v>365</v>
      </c>
      <c r="F419" s="79" t="s">
        <v>9</v>
      </c>
      <c r="G419" s="316">
        <f t="shared" ref="G419:T419" si="202">G420</f>
        <v>0</v>
      </c>
      <c r="H419" s="316">
        <f t="shared" si="202"/>
        <v>1534.3</v>
      </c>
      <c r="I419" s="338">
        <f t="shared" si="202"/>
        <v>0</v>
      </c>
      <c r="J419" s="338">
        <f t="shared" si="202"/>
        <v>1534.3</v>
      </c>
      <c r="K419" s="408">
        <f t="shared" si="202"/>
        <v>0</v>
      </c>
      <c r="L419" s="408">
        <f t="shared" si="202"/>
        <v>0</v>
      </c>
      <c r="M419" s="322">
        <f t="shared" si="202"/>
        <v>0</v>
      </c>
      <c r="N419" s="322">
        <f t="shared" si="202"/>
        <v>0</v>
      </c>
      <c r="O419" s="312">
        <f t="shared" si="202"/>
        <v>0</v>
      </c>
      <c r="P419" s="312">
        <f t="shared" si="202"/>
        <v>0</v>
      </c>
      <c r="Q419" s="322">
        <f t="shared" si="202"/>
        <v>0</v>
      </c>
      <c r="R419" s="322">
        <f t="shared" si="202"/>
        <v>0</v>
      </c>
      <c r="S419" s="312">
        <f t="shared" si="202"/>
        <v>0</v>
      </c>
      <c r="T419" s="312">
        <f t="shared" si="202"/>
        <v>0</v>
      </c>
      <c r="U419" s="132">
        <f t="shared" si="168"/>
        <v>1534.3</v>
      </c>
      <c r="V419" s="132">
        <f t="shared" si="169"/>
        <v>1534.3</v>
      </c>
    </row>
    <row r="420" spans="1:22" s="80" customFormat="1" ht="31.5" x14ac:dyDescent="0.25">
      <c r="A420" s="78" t="s">
        <v>784</v>
      </c>
      <c r="B420" s="79" t="s">
        <v>76</v>
      </c>
      <c r="C420" s="79" t="s">
        <v>20</v>
      </c>
      <c r="D420" s="79" t="s">
        <v>18</v>
      </c>
      <c r="E420" s="79" t="s">
        <v>380</v>
      </c>
      <c r="F420" s="79" t="s">
        <v>9</v>
      </c>
      <c r="G420" s="316">
        <f t="shared" ref="G420:T420" si="203">G421+G424</f>
        <v>0</v>
      </c>
      <c r="H420" s="316">
        <f>H421+H424</f>
        <v>1534.3</v>
      </c>
      <c r="I420" s="338">
        <f t="shared" si="203"/>
        <v>0</v>
      </c>
      <c r="J420" s="338">
        <f>J421+J424</f>
        <v>1534.3</v>
      </c>
      <c r="K420" s="408">
        <f t="shared" si="203"/>
        <v>0</v>
      </c>
      <c r="L420" s="408">
        <f t="shared" si="203"/>
        <v>0</v>
      </c>
      <c r="M420" s="322">
        <f t="shared" si="203"/>
        <v>0</v>
      </c>
      <c r="N420" s="322">
        <f t="shared" si="203"/>
        <v>0</v>
      </c>
      <c r="O420" s="312">
        <f t="shared" si="203"/>
        <v>0</v>
      </c>
      <c r="P420" s="312">
        <f t="shared" si="203"/>
        <v>0</v>
      </c>
      <c r="Q420" s="322">
        <f t="shared" si="203"/>
        <v>0</v>
      </c>
      <c r="R420" s="322">
        <f t="shared" si="203"/>
        <v>0</v>
      </c>
      <c r="S420" s="312">
        <f t="shared" si="203"/>
        <v>0</v>
      </c>
      <c r="T420" s="312">
        <f t="shared" si="203"/>
        <v>0</v>
      </c>
      <c r="U420" s="132">
        <f t="shared" si="168"/>
        <v>1534.3</v>
      </c>
      <c r="V420" s="132">
        <f t="shared" si="169"/>
        <v>1534.3</v>
      </c>
    </row>
    <row r="421" spans="1:22" s="80" customFormat="1" x14ac:dyDescent="0.25">
      <c r="A421" s="78" t="s">
        <v>127</v>
      </c>
      <c r="B421" s="79" t="s">
        <v>76</v>
      </c>
      <c r="C421" s="79" t="s">
        <v>20</v>
      </c>
      <c r="D421" s="79" t="s">
        <v>18</v>
      </c>
      <c r="E421" s="79" t="s">
        <v>419</v>
      </c>
      <c r="F421" s="79" t="s">
        <v>9</v>
      </c>
      <c r="G421" s="316">
        <f t="shared" ref="G421:T422" si="204">G422</f>
        <v>0</v>
      </c>
      <c r="H421" s="316">
        <f t="shared" si="204"/>
        <v>86</v>
      </c>
      <c r="I421" s="338">
        <f t="shared" si="204"/>
        <v>0</v>
      </c>
      <c r="J421" s="338">
        <f t="shared" si="204"/>
        <v>86</v>
      </c>
      <c r="K421" s="408">
        <f t="shared" si="204"/>
        <v>0</v>
      </c>
      <c r="L421" s="408">
        <f t="shared" si="204"/>
        <v>0</v>
      </c>
      <c r="M421" s="322">
        <f t="shared" si="204"/>
        <v>0</v>
      </c>
      <c r="N421" s="322">
        <f t="shared" si="204"/>
        <v>0</v>
      </c>
      <c r="O421" s="312">
        <f t="shared" si="204"/>
        <v>0</v>
      </c>
      <c r="P421" s="312">
        <f t="shared" si="204"/>
        <v>0</v>
      </c>
      <c r="Q421" s="322">
        <f t="shared" si="204"/>
        <v>0</v>
      </c>
      <c r="R421" s="322">
        <f t="shared" si="204"/>
        <v>0</v>
      </c>
      <c r="S421" s="312">
        <f t="shared" si="204"/>
        <v>0</v>
      </c>
      <c r="T421" s="312">
        <f t="shared" si="204"/>
        <v>0</v>
      </c>
      <c r="U421" s="132">
        <f t="shared" si="168"/>
        <v>86</v>
      </c>
      <c r="V421" s="132">
        <f t="shared" si="169"/>
        <v>86</v>
      </c>
    </row>
    <row r="422" spans="1:22" s="80" customFormat="1" x14ac:dyDescent="0.25">
      <c r="A422" s="78" t="s">
        <v>128</v>
      </c>
      <c r="B422" s="79" t="s">
        <v>76</v>
      </c>
      <c r="C422" s="79" t="s">
        <v>20</v>
      </c>
      <c r="D422" s="79" t="s">
        <v>18</v>
      </c>
      <c r="E422" s="79" t="s">
        <v>435</v>
      </c>
      <c r="F422" s="79" t="s">
        <v>9</v>
      </c>
      <c r="G422" s="316">
        <f t="shared" si="204"/>
        <v>0</v>
      </c>
      <c r="H422" s="316">
        <f t="shared" si="204"/>
        <v>86</v>
      </c>
      <c r="I422" s="338">
        <f t="shared" si="204"/>
        <v>0</v>
      </c>
      <c r="J422" s="338">
        <f t="shared" si="204"/>
        <v>86</v>
      </c>
      <c r="K422" s="408">
        <f t="shared" si="204"/>
        <v>0</v>
      </c>
      <c r="L422" s="408">
        <f t="shared" si="204"/>
        <v>0</v>
      </c>
      <c r="M422" s="322">
        <f t="shared" si="204"/>
        <v>0</v>
      </c>
      <c r="N422" s="322">
        <f t="shared" si="204"/>
        <v>0</v>
      </c>
      <c r="O422" s="312">
        <f t="shared" si="204"/>
        <v>0</v>
      </c>
      <c r="P422" s="312">
        <f t="shared" si="204"/>
        <v>0</v>
      </c>
      <c r="Q422" s="322">
        <f t="shared" si="204"/>
        <v>0</v>
      </c>
      <c r="R422" s="322">
        <f t="shared" si="204"/>
        <v>0</v>
      </c>
      <c r="S422" s="312">
        <f t="shared" si="204"/>
        <v>0</v>
      </c>
      <c r="T422" s="312">
        <f t="shared" si="204"/>
        <v>0</v>
      </c>
      <c r="U422" s="132">
        <f t="shared" si="168"/>
        <v>86</v>
      </c>
      <c r="V422" s="132">
        <f t="shared" si="169"/>
        <v>86</v>
      </c>
    </row>
    <row r="423" spans="1:22" s="80" customFormat="1" x14ac:dyDescent="0.25">
      <c r="A423" s="74" t="s">
        <v>123</v>
      </c>
      <c r="B423" s="75" t="s">
        <v>76</v>
      </c>
      <c r="C423" s="75" t="s">
        <v>20</v>
      </c>
      <c r="D423" s="75" t="s">
        <v>18</v>
      </c>
      <c r="E423" s="75" t="s">
        <v>435</v>
      </c>
      <c r="F423" s="75" t="s">
        <v>119</v>
      </c>
      <c r="G423" s="311"/>
      <c r="H423" s="311">
        <v>86</v>
      </c>
      <c r="I423" s="320"/>
      <c r="J423" s="320">
        <v>86</v>
      </c>
      <c r="K423" s="409"/>
      <c r="L423" s="409"/>
      <c r="M423" s="323"/>
      <c r="N423" s="323"/>
      <c r="O423" s="313"/>
      <c r="P423" s="313"/>
      <c r="Q423" s="323"/>
      <c r="R423" s="323"/>
      <c r="S423" s="313"/>
      <c r="T423" s="313"/>
      <c r="U423" s="131">
        <f t="shared" ref="U423:U491" si="205">G423+K423+M423+O423+Q423+S423+H423</f>
        <v>86</v>
      </c>
      <c r="V423" s="131">
        <f t="shared" ref="V423:V491" si="206">I423+L423+N423+P423+R423+T423+J423</f>
        <v>86</v>
      </c>
    </row>
    <row r="424" spans="1:22" s="77" customFormat="1" ht="31.5" x14ac:dyDescent="0.25">
      <c r="A424" s="78" t="s">
        <v>568</v>
      </c>
      <c r="B424" s="79" t="s">
        <v>76</v>
      </c>
      <c r="C424" s="79" t="s">
        <v>20</v>
      </c>
      <c r="D424" s="79" t="s">
        <v>18</v>
      </c>
      <c r="E424" s="79" t="s">
        <v>421</v>
      </c>
      <c r="F424" s="79" t="s">
        <v>9</v>
      </c>
      <c r="G424" s="316">
        <f t="shared" ref="G424:T424" si="207">G425</f>
        <v>0</v>
      </c>
      <c r="H424" s="316">
        <f t="shared" si="207"/>
        <v>1448.3</v>
      </c>
      <c r="I424" s="338">
        <f t="shared" si="207"/>
        <v>0</v>
      </c>
      <c r="J424" s="338">
        <f t="shared" si="207"/>
        <v>1448.3</v>
      </c>
      <c r="K424" s="408">
        <f t="shared" si="207"/>
        <v>0</v>
      </c>
      <c r="L424" s="408">
        <f t="shared" si="207"/>
        <v>0</v>
      </c>
      <c r="M424" s="322">
        <f t="shared" si="207"/>
        <v>0</v>
      </c>
      <c r="N424" s="322">
        <f t="shared" si="207"/>
        <v>0</v>
      </c>
      <c r="O424" s="312">
        <f t="shared" si="207"/>
        <v>0</v>
      </c>
      <c r="P424" s="312">
        <f t="shared" si="207"/>
        <v>0</v>
      </c>
      <c r="Q424" s="322">
        <f t="shared" si="207"/>
        <v>0</v>
      </c>
      <c r="R424" s="322">
        <f t="shared" si="207"/>
        <v>0</v>
      </c>
      <c r="S424" s="312">
        <f t="shared" si="207"/>
        <v>0</v>
      </c>
      <c r="T424" s="312">
        <f t="shared" si="207"/>
        <v>0</v>
      </c>
      <c r="U424" s="132">
        <f t="shared" si="205"/>
        <v>1448.3</v>
      </c>
      <c r="V424" s="132">
        <f t="shared" si="206"/>
        <v>1448.3</v>
      </c>
    </row>
    <row r="425" spans="1:22" s="77" customFormat="1" x14ac:dyDescent="0.25">
      <c r="A425" s="78" t="s">
        <v>82</v>
      </c>
      <c r="B425" s="79" t="s">
        <v>76</v>
      </c>
      <c r="C425" s="79" t="s">
        <v>20</v>
      </c>
      <c r="D425" s="79" t="s">
        <v>18</v>
      </c>
      <c r="E425" s="79" t="s">
        <v>436</v>
      </c>
      <c r="F425" s="79" t="s">
        <v>9</v>
      </c>
      <c r="G425" s="316">
        <f t="shared" ref="G425:T425" si="208">G426+G427</f>
        <v>0</v>
      </c>
      <c r="H425" s="316">
        <f>H426+H427</f>
        <v>1448.3</v>
      </c>
      <c r="I425" s="338">
        <f t="shared" si="208"/>
        <v>0</v>
      </c>
      <c r="J425" s="338">
        <f>J426+J427</f>
        <v>1448.3</v>
      </c>
      <c r="K425" s="408">
        <f t="shared" si="208"/>
        <v>0</v>
      </c>
      <c r="L425" s="408">
        <f t="shared" si="208"/>
        <v>0</v>
      </c>
      <c r="M425" s="322">
        <f t="shared" si="208"/>
        <v>0</v>
      </c>
      <c r="N425" s="322">
        <f t="shared" si="208"/>
        <v>0</v>
      </c>
      <c r="O425" s="312">
        <f t="shared" si="208"/>
        <v>0</v>
      </c>
      <c r="P425" s="312">
        <f t="shared" si="208"/>
        <v>0</v>
      </c>
      <c r="Q425" s="322">
        <f t="shared" si="208"/>
        <v>0</v>
      </c>
      <c r="R425" s="322">
        <f t="shared" si="208"/>
        <v>0</v>
      </c>
      <c r="S425" s="312">
        <f t="shared" si="208"/>
        <v>0</v>
      </c>
      <c r="T425" s="312">
        <f t="shared" si="208"/>
        <v>0</v>
      </c>
      <c r="U425" s="132">
        <f t="shared" si="205"/>
        <v>1448.3</v>
      </c>
      <c r="V425" s="132">
        <f t="shared" si="206"/>
        <v>1448.3</v>
      </c>
    </row>
    <row r="426" spans="1:22" s="80" customFormat="1" ht="63" x14ac:dyDescent="0.25">
      <c r="A426" s="74" t="s">
        <v>115</v>
      </c>
      <c r="B426" s="75" t="s">
        <v>76</v>
      </c>
      <c r="C426" s="75" t="s">
        <v>20</v>
      </c>
      <c r="D426" s="75" t="s">
        <v>18</v>
      </c>
      <c r="E426" s="75" t="s">
        <v>436</v>
      </c>
      <c r="F426" s="75" t="s">
        <v>113</v>
      </c>
      <c r="G426" s="311"/>
      <c r="H426" s="311">
        <v>1448.3</v>
      </c>
      <c r="I426" s="320"/>
      <c r="J426" s="320">
        <v>1448.3</v>
      </c>
      <c r="K426" s="409"/>
      <c r="L426" s="409"/>
      <c r="M426" s="323"/>
      <c r="N426" s="323"/>
      <c r="O426" s="313"/>
      <c r="P426" s="313"/>
      <c r="Q426" s="323"/>
      <c r="R426" s="323"/>
      <c r="S426" s="313"/>
      <c r="T426" s="313"/>
      <c r="U426" s="131">
        <f t="shared" si="205"/>
        <v>1448.3</v>
      </c>
      <c r="V426" s="131">
        <f t="shared" si="206"/>
        <v>1448.3</v>
      </c>
    </row>
    <row r="427" spans="1:22" s="80" customFormat="1" ht="31.5" customHeight="1" outlineLevel="1" x14ac:dyDescent="0.25">
      <c r="A427" s="74" t="s">
        <v>124</v>
      </c>
      <c r="B427" s="75" t="s">
        <v>76</v>
      </c>
      <c r="C427" s="75" t="s">
        <v>20</v>
      </c>
      <c r="D427" s="75" t="s">
        <v>18</v>
      </c>
      <c r="E427" s="75" t="s">
        <v>436</v>
      </c>
      <c r="F427" s="75" t="s">
        <v>117</v>
      </c>
      <c r="G427" s="311"/>
      <c r="H427" s="311"/>
      <c r="I427" s="320"/>
      <c r="J427" s="320"/>
      <c r="K427" s="409"/>
      <c r="L427" s="409"/>
      <c r="M427" s="323"/>
      <c r="N427" s="323"/>
      <c r="O427" s="313"/>
      <c r="P427" s="313"/>
      <c r="Q427" s="323"/>
      <c r="R427" s="323"/>
      <c r="S427" s="313"/>
      <c r="T427" s="313"/>
      <c r="U427" s="131">
        <f t="shared" si="205"/>
        <v>0</v>
      </c>
      <c r="V427" s="131">
        <f t="shared" si="206"/>
        <v>0</v>
      </c>
    </row>
    <row r="428" spans="1:22" s="80" customFormat="1" ht="31.5" customHeight="1" outlineLevel="1" x14ac:dyDescent="0.25">
      <c r="A428" s="78" t="s">
        <v>83</v>
      </c>
      <c r="B428" s="79" t="s">
        <v>76</v>
      </c>
      <c r="C428" s="79" t="s">
        <v>20</v>
      </c>
      <c r="D428" s="79" t="s">
        <v>63</v>
      </c>
      <c r="E428" s="79" t="s">
        <v>365</v>
      </c>
      <c r="F428" s="79" t="s">
        <v>9</v>
      </c>
      <c r="G428" s="316">
        <f t="shared" ref="G428:T431" si="209">G429</f>
        <v>0</v>
      </c>
      <c r="H428" s="316">
        <f t="shared" si="209"/>
        <v>2.5</v>
      </c>
      <c r="I428" s="338">
        <f t="shared" si="209"/>
        <v>0</v>
      </c>
      <c r="J428" s="338">
        <f t="shared" si="209"/>
        <v>2.5</v>
      </c>
      <c r="K428" s="408">
        <f t="shared" si="209"/>
        <v>0</v>
      </c>
      <c r="L428" s="408">
        <f t="shared" si="209"/>
        <v>0</v>
      </c>
      <c r="M428" s="322">
        <f t="shared" si="209"/>
        <v>0</v>
      </c>
      <c r="N428" s="322">
        <f t="shared" si="209"/>
        <v>0</v>
      </c>
      <c r="O428" s="312">
        <f t="shared" si="209"/>
        <v>0</v>
      </c>
      <c r="P428" s="312">
        <f t="shared" si="209"/>
        <v>0</v>
      </c>
      <c r="Q428" s="322">
        <f t="shared" si="209"/>
        <v>0</v>
      </c>
      <c r="R428" s="322">
        <f t="shared" si="209"/>
        <v>0</v>
      </c>
      <c r="S428" s="312">
        <f t="shared" si="209"/>
        <v>0</v>
      </c>
      <c r="T428" s="312">
        <f t="shared" si="209"/>
        <v>0</v>
      </c>
      <c r="U428" s="132">
        <f t="shared" si="205"/>
        <v>2.5</v>
      </c>
      <c r="V428" s="132">
        <f t="shared" si="206"/>
        <v>2.5</v>
      </c>
    </row>
    <row r="429" spans="1:22" s="80" customFormat="1" ht="31.5" customHeight="1" outlineLevel="1" x14ac:dyDescent="0.25">
      <c r="A429" s="78" t="s">
        <v>784</v>
      </c>
      <c r="B429" s="79" t="s">
        <v>76</v>
      </c>
      <c r="C429" s="79" t="s">
        <v>20</v>
      </c>
      <c r="D429" s="79" t="s">
        <v>63</v>
      </c>
      <c r="E429" s="79" t="s">
        <v>380</v>
      </c>
      <c r="F429" s="79" t="s">
        <v>9</v>
      </c>
      <c r="G429" s="316">
        <f t="shared" si="209"/>
        <v>0</v>
      </c>
      <c r="H429" s="316">
        <f t="shared" si="209"/>
        <v>2.5</v>
      </c>
      <c r="I429" s="338">
        <f t="shared" si="209"/>
        <v>0</v>
      </c>
      <c r="J429" s="338">
        <f t="shared" si="209"/>
        <v>2.5</v>
      </c>
      <c r="K429" s="408">
        <f t="shared" si="209"/>
        <v>0</v>
      </c>
      <c r="L429" s="408">
        <f t="shared" si="209"/>
        <v>0</v>
      </c>
      <c r="M429" s="322">
        <f t="shared" si="209"/>
        <v>0</v>
      </c>
      <c r="N429" s="322">
        <f t="shared" si="209"/>
        <v>0</v>
      </c>
      <c r="O429" s="312">
        <f t="shared" si="209"/>
        <v>0</v>
      </c>
      <c r="P429" s="312">
        <f t="shared" si="209"/>
        <v>0</v>
      </c>
      <c r="Q429" s="322">
        <f t="shared" si="209"/>
        <v>0</v>
      </c>
      <c r="R429" s="322">
        <f t="shared" si="209"/>
        <v>0</v>
      </c>
      <c r="S429" s="312">
        <f t="shared" si="209"/>
        <v>0</v>
      </c>
      <c r="T429" s="312">
        <f t="shared" si="209"/>
        <v>0</v>
      </c>
      <c r="U429" s="132">
        <f t="shared" si="205"/>
        <v>2.5</v>
      </c>
      <c r="V429" s="132">
        <f t="shared" si="206"/>
        <v>2.5</v>
      </c>
    </row>
    <row r="430" spans="1:22" s="77" customFormat="1" ht="15.75" customHeight="1" outlineLevel="1" x14ac:dyDescent="0.25">
      <c r="A430" s="78" t="s">
        <v>15</v>
      </c>
      <c r="B430" s="79" t="s">
        <v>76</v>
      </c>
      <c r="C430" s="79" t="s">
        <v>20</v>
      </c>
      <c r="D430" s="79" t="s">
        <v>63</v>
      </c>
      <c r="E430" s="79" t="s">
        <v>433</v>
      </c>
      <c r="F430" s="79" t="s">
        <v>9</v>
      </c>
      <c r="G430" s="316">
        <f t="shared" si="209"/>
        <v>0</v>
      </c>
      <c r="H430" s="316">
        <f t="shared" si="209"/>
        <v>2.5</v>
      </c>
      <c r="I430" s="338">
        <f t="shared" si="209"/>
        <v>0</v>
      </c>
      <c r="J430" s="338">
        <f t="shared" si="209"/>
        <v>2.5</v>
      </c>
      <c r="K430" s="408">
        <f t="shared" si="209"/>
        <v>0</v>
      </c>
      <c r="L430" s="408">
        <f t="shared" si="209"/>
        <v>0</v>
      </c>
      <c r="M430" s="322">
        <f t="shared" si="209"/>
        <v>0</v>
      </c>
      <c r="N430" s="322">
        <f t="shared" si="209"/>
        <v>0</v>
      </c>
      <c r="O430" s="312">
        <f t="shared" si="209"/>
        <v>0</v>
      </c>
      <c r="P430" s="312">
        <f t="shared" si="209"/>
        <v>0</v>
      </c>
      <c r="Q430" s="322">
        <f t="shared" si="209"/>
        <v>0</v>
      </c>
      <c r="R430" s="322">
        <f t="shared" si="209"/>
        <v>0</v>
      </c>
      <c r="S430" s="312">
        <f t="shared" si="209"/>
        <v>0</v>
      </c>
      <c r="T430" s="312">
        <f t="shared" si="209"/>
        <v>0</v>
      </c>
      <c r="U430" s="132">
        <f t="shared" si="205"/>
        <v>2.5</v>
      </c>
      <c r="V430" s="132">
        <f t="shared" si="206"/>
        <v>2.5</v>
      </c>
    </row>
    <row r="431" spans="1:22" s="77" customFormat="1" ht="31.5" customHeight="1" outlineLevel="1" x14ac:dyDescent="0.25">
      <c r="A431" s="78" t="s">
        <v>84</v>
      </c>
      <c r="B431" s="79" t="s">
        <v>76</v>
      </c>
      <c r="C431" s="79" t="s">
        <v>20</v>
      </c>
      <c r="D431" s="79" t="s">
        <v>63</v>
      </c>
      <c r="E431" s="79" t="s">
        <v>437</v>
      </c>
      <c r="F431" s="79" t="s">
        <v>9</v>
      </c>
      <c r="G431" s="316">
        <f t="shared" si="209"/>
        <v>0</v>
      </c>
      <c r="H431" s="316">
        <f t="shared" si="209"/>
        <v>2.5</v>
      </c>
      <c r="I431" s="338">
        <f t="shared" si="209"/>
        <v>0</v>
      </c>
      <c r="J431" s="338">
        <f t="shared" si="209"/>
        <v>2.5</v>
      </c>
      <c r="K431" s="408">
        <f t="shared" si="209"/>
        <v>0</v>
      </c>
      <c r="L431" s="408">
        <f t="shared" si="209"/>
        <v>0</v>
      </c>
      <c r="M431" s="322">
        <f t="shared" si="209"/>
        <v>0</v>
      </c>
      <c r="N431" s="322">
        <f t="shared" si="209"/>
        <v>0</v>
      </c>
      <c r="O431" s="312">
        <f t="shared" si="209"/>
        <v>0</v>
      </c>
      <c r="P431" s="312">
        <f t="shared" si="209"/>
        <v>0</v>
      </c>
      <c r="Q431" s="322">
        <f t="shared" si="209"/>
        <v>0</v>
      </c>
      <c r="R431" s="322">
        <f t="shared" si="209"/>
        <v>0</v>
      </c>
      <c r="S431" s="312">
        <f t="shared" si="209"/>
        <v>0</v>
      </c>
      <c r="T431" s="312">
        <f t="shared" si="209"/>
        <v>0</v>
      </c>
      <c r="U431" s="132">
        <f t="shared" si="205"/>
        <v>2.5</v>
      </c>
      <c r="V431" s="132">
        <f t="shared" si="206"/>
        <v>2.5</v>
      </c>
    </row>
    <row r="432" spans="1:22" s="77" customFormat="1" ht="31.5" customHeight="1" outlineLevel="1" x14ac:dyDescent="0.25">
      <c r="A432" s="74" t="s">
        <v>124</v>
      </c>
      <c r="B432" s="75" t="s">
        <v>76</v>
      </c>
      <c r="C432" s="75" t="s">
        <v>20</v>
      </c>
      <c r="D432" s="75" t="s">
        <v>63</v>
      </c>
      <c r="E432" s="75" t="s">
        <v>437</v>
      </c>
      <c r="F432" s="75" t="s">
        <v>117</v>
      </c>
      <c r="G432" s="311"/>
      <c r="H432" s="311">
        <v>2.5</v>
      </c>
      <c r="I432" s="320"/>
      <c r="J432" s="320">
        <v>2.5</v>
      </c>
      <c r="K432" s="409"/>
      <c r="L432" s="409"/>
      <c r="M432" s="323"/>
      <c r="N432" s="323"/>
      <c r="O432" s="313"/>
      <c r="P432" s="313"/>
      <c r="Q432" s="323"/>
      <c r="R432" s="323"/>
      <c r="S432" s="313"/>
      <c r="T432" s="313"/>
      <c r="U432" s="131">
        <f t="shared" si="205"/>
        <v>2.5</v>
      </c>
      <c r="V432" s="131">
        <f t="shared" si="206"/>
        <v>2.5</v>
      </c>
    </row>
    <row r="433" spans="1:22" s="80" customFormat="1" x14ac:dyDescent="0.25">
      <c r="A433" s="74" t="s">
        <v>72</v>
      </c>
      <c r="B433" s="75" t="s">
        <v>76</v>
      </c>
      <c r="C433" s="75" t="s">
        <v>25</v>
      </c>
      <c r="D433" s="75" t="s">
        <v>10</v>
      </c>
      <c r="E433" s="75" t="s">
        <v>365</v>
      </c>
      <c r="F433" s="75" t="s">
        <v>9</v>
      </c>
      <c r="G433" s="311">
        <f t="shared" ref="G433:T433" si="210">G457+G502+G434+G451</f>
        <v>235516.1</v>
      </c>
      <c r="H433" s="311">
        <f t="shared" si="210"/>
        <v>3527.2</v>
      </c>
      <c r="I433" s="320">
        <f t="shared" si="210"/>
        <v>20017.5</v>
      </c>
      <c r="J433" s="320">
        <f t="shared" si="210"/>
        <v>6228.7</v>
      </c>
      <c r="K433" s="407">
        <f t="shared" si="210"/>
        <v>0</v>
      </c>
      <c r="L433" s="407">
        <f t="shared" si="210"/>
        <v>0</v>
      </c>
      <c r="M433" s="321">
        <f t="shared" si="210"/>
        <v>0</v>
      </c>
      <c r="N433" s="321">
        <f t="shared" si="210"/>
        <v>0</v>
      </c>
      <c r="O433" s="310">
        <f t="shared" si="210"/>
        <v>0</v>
      </c>
      <c r="P433" s="310">
        <f t="shared" si="210"/>
        <v>0</v>
      </c>
      <c r="Q433" s="321">
        <f t="shared" si="210"/>
        <v>0</v>
      </c>
      <c r="R433" s="321">
        <f t="shared" si="210"/>
        <v>0</v>
      </c>
      <c r="S433" s="310">
        <f t="shared" si="210"/>
        <v>0</v>
      </c>
      <c r="T433" s="310">
        <f t="shared" si="210"/>
        <v>0</v>
      </c>
      <c r="U433" s="131">
        <f t="shared" si="205"/>
        <v>239043.30000000002</v>
      </c>
      <c r="V433" s="131">
        <f t="shared" si="206"/>
        <v>26246.2</v>
      </c>
    </row>
    <row r="434" spans="1:22" s="77" customFormat="1" x14ac:dyDescent="0.25">
      <c r="A434" s="78" t="s">
        <v>111</v>
      </c>
      <c r="B434" s="79" t="s">
        <v>76</v>
      </c>
      <c r="C434" s="79" t="s">
        <v>25</v>
      </c>
      <c r="D434" s="79" t="s">
        <v>58</v>
      </c>
      <c r="E434" s="79" t="s">
        <v>365</v>
      </c>
      <c r="F434" s="79" t="s">
        <v>9</v>
      </c>
      <c r="G434" s="316">
        <f t="shared" ref="G434:T434" si="211">G435</f>
        <v>135.9</v>
      </c>
      <c r="H434" s="316">
        <f t="shared" si="211"/>
        <v>0</v>
      </c>
      <c r="I434" s="338">
        <f t="shared" si="211"/>
        <v>58.5</v>
      </c>
      <c r="J434" s="338">
        <f t="shared" si="211"/>
        <v>0</v>
      </c>
      <c r="K434" s="408">
        <f t="shared" si="211"/>
        <v>0</v>
      </c>
      <c r="L434" s="408">
        <f t="shared" si="211"/>
        <v>0</v>
      </c>
      <c r="M434" s="322">
        <f t="shared" si="211"/>
        <v>0</v>
      </c>
      <c r="N434" s="322">
        <f t="shared" si="211"/>
        <v>0</v>
      </c>
      <c r="O434" s="312">
        <f t="shared" si="211"/>
        <v>0</v>
      </c>
      <c r="P434" s="312">
        <f t="shared" si="211"/>
        <v>0</v>
      </c>
      <c r="Q434" s="322">
        <f t="shared" si="211"/>
        <v>0</v>
      </c>
      <c r="R434" s="322">
        <f t="shared" si="211"/>
        <v>0</v>
      </c>
      <c r="S434" s="312">
        <f t="shared" si="211"/>
        <v>0</v>
      </c>
      <c r="T434" s="312">
        <f t="shared" si="211"/>
        <v>0</v>
      </c>
      <c r="U434" s="132">
        <f t="shared" si="205"/>
        <v>135.9</v>
      </c>
      <c r="V434" s="132">
        <f t="shared" si="206"/>
        <v>58.5</v>
      </c>
    </row>
    <row r="435" spans="1:22" s="80" customFormat="1" ht="31.5" x14ac:dyDescent="0.25">
      <c r="A435" s="78" t="s">
        <v>787</v>
      </c>
      <c r="B435" s="79" t="s">
        <v>76</v>
      </c>
      <c r="C435" s="79" t="s">
        <v>25</v>
      </c>
      <c r="D435" s="79" t="s">
        <v>58</v>
      </c>
      <c r="E435" s="79" t="s">
        <v>495</v>
      </c>
      <c r="F435" s="79" t="s">
        <v>9</v>
      </c>
      <c r="G435" s="316">
        <f t="shared" ref="G435:T435" si="212">G436+G443+G445+G447+G441+G449</f>
        <v>135.9</v>
      </c>
      <c r="H435" s="316">
        <f>H436+H443+H445+H447+H441+H449</f>
        <v>0</v>
      </c>
      <c r="I435" s="338">
        <f t="shared" si="212"/>
        <v>58.5</v>
      </c>
      <c r="J435" s="338">
        <f>J436+J443+J445+J447+J441+J449</f>
        <v>0</v>
      </c>
      <c r="K435" s="408">
        <f t="shared" si="212"/>
        <v>0</v>
      </c>
      <c r="L435" s="408">
        <f t="shared" si="212"/>
        <v>0</v>
      </c>
      <c r="M435" s="322">
        <f t="shared" si="212"/>
        <v>0</v>
      </c>
      <c r="N435" s="322">
        <f t="shared" si="212"/>
        <v>0</v>
      </c>
      <c r="O435" s="312">
        <f t="shared" si="212"/>
        <v>0</v>
      </c>
      <c r="P435" s="312">
        <f t="shared" si="212"/>
        <v>0</v>
      </c>
      <c r="Q435" s="322">
        <f t="shared" si="212"/>
        <v>0</v>
      </c>
      <c r="R435" s="322">
        <f t="shared" si="212"/>
        <v>0</v>
      </c>
      <c r="S435" s="312">
        <f t="shared" si="212"/>
        <v>0</v>
      </c>
      <c r="T435" s="312">
        <f t="shared" si="212"/>
        <v>0</v>
      </c>
      <c r="U435" s="132">
        <f t="shared" si="205"/>
        <v>135.9</v>
      </c>
      <c r="V435" s="132">
        <f t="shared" si="206"/>
        <v>58.5</v>
      </c>
    </row>
    <row r="436" spans="1:22" s="77" customFormat="1" ht="47.25" customHeight="1" x14ac:dyDescent="0.25">
      <c r="A436" s="78" t="s">
        <v>1110</v>
      </c>
      <c r="B436" s="79" t="s">
        <v>76</v>
      </c>
      <c r="C436" s="79" t="s">
        <v>25</v>
      </c>
      <c r="D436" s="79" t="s">
        <v>58</v>
      </c>
      <c r="E436" s="79" t="s">
        <v>496</v>
      </c>
      <c r="F436" s="79" t="s">
        <v>9</v>
      </c>
      <c r="G436" s="316">
        <f t="shared" ref="G436:T436" si="213">G437+G439</f>
        <v>0</v>
      </c>
      <c r="H436" s="316">
        <f>H437+H439</f>
        <v>0</v>
      </c>
      <c r="I436" s="338">
        <f t="shared" si="213"/>
        <v>0</v>
      </c>
      <c r="J436" s="338">
        <f>J437+J439</f>
        <v>0</v>
      </c>
      <c r="K436" s="408">
        <f t="shared" si="213"/>
        <v>0</v>
      </c>
      <c r="L436" s="408">
        <f t="shared" si="213"/>
        <v>0</v>
      </c>
      <c r="M436" s="322">
        <f t="shared" si="213"/>
        <v>0</v>
      </c>
      <c r="N436" s="322">
        <f t="shared" si="213"/>
        <v>0</v>
      </c>
      <c r="O436" s="312">
        <f t="shared" si="213"/>
        <v>0</v>
      </c>
      <c r="P436" s="312">
        <f t="shared" si="213"/>
        <v>0</v>
      </c>
      <c r="Q436" s="322">
        <f t="shared" si="213"/>
        <v>0</v>
      </c>
      <c r="R436" s="322">
        <f t="shared" si="213"/>
        <v>0</v>
      </c>
      <c r="S436" s="312">
        <f t="shared" si="213"/>
        <v>0</v>
      </c>
      <c r="T436" s="312">
        <f t="shared" si="213"/>
        <v>0</v>
      </c>
      <c r="U436" s="132">
        <f t="shared" si="205"/>
        <v>0</v>
      </c>
      <c r="V436" s="132">
        <f t="shared" si="206"/>
        <v>0</v>
      </c>
    </row>
    <row r="437" spans="1:22" s="77" customFormat="1" ht="94.5" customHeight="1" outlineLevel="1" x14ac:dyDescent="0.25">
      <c r="A437" s="78" t="s">
        <v>506</v>
      </c>
      <c r="B437" s="79" t="s">
        <v>76</v>
      </c>
      <c r="C437" s="79" t="s">
        <v>25</v>
      </c>
      <c r="D437" s="79" t="s">
        <v>58</v>
      </c>
      <c r="E437" s="79" t="s">
        <v>498</v>
      </c>
      <c r="F437" s="79" t="s">
        <v>9</v>
      </c>
      <c r="G437" s="316">
        <f t="shared" ref="G437:T437" si="214">G438</f>
        <v>0</v>
      </c>
      <c r="H437" s="316">
        <f t="shared" si="214"/>
        <v>0</v>
      </c>
      <c r="I437" s="338">
        <f t="shared" si="214"/>
        <v>0</v>
      </c>
      <c r="J437" s="338">
        <f t="shared" si="214"/>
        <v>0</v>
      </c>
      <c r="K437" s="408">
        <f t="shared" si="214"/>
        <v>0</v>
      </c>
      <c r="L437" s="408">
        <f t="shared" si="214"/>
        <v>0</v>
      </c>
      <c r="M437" s="322">
        <f t="shared" si="214"/>
        <v>0</v>
      </c>
      <c r="N437" s="322">
        <f t="shared" si="214"/>
        <v>0</v>
      </c>
      <c r="O437" s="312">
        <f t="shared" si="214"/>
        <v>0</v>
      </c>
      <c r="P437" s="312">
        <f t="shared" si="214"/>
        <v>0</v>
      </c>
      <c r="Q437" s="322">
        <f t="shared" si="214"/>
        <v>0</v>
      </c>
      <c r="R437" s="322">
        <f t="shared" si="214"/>
        <v>0</v>
      </c>
      <c r="S437" s="312">
        <f t="shared" si="214"/>
        <v>0</v>
      </c>
      <c r="T437" s="312">
        <f t="shared" si="214"/>
        <v>0</v>
      </c>
      <c r="U437" s="132">
        <f t="shared" si="205"/>
        <v>0</v>
      </c>
      <c r="V437" s="132">
        <f t="shared" si="206"/>
        <v>0</v>
      </c>
    </row>
    <row r="438" spans="1:22" s="77" customFormat="1" ht="31.5" customHeight="1" outlineLevel="1" x14ac:dyDescent="0.25">
      <c r="A438" s="74" t="s">
        <v>124</v>
      </c>
      <c r="B438" s="75" t="s">
        <v>76</v>
      </c>
      <c r="C438" s="75" t="s">
        <v>25</v>
      </c>
      <c r="D438" s="75" t="s">
        <v>58</v>
      </c>
      <c r="E438" s="75" t="s">
        <v>498</v>
      </c>
      <c r="F438" s="75" t="s">
        <v>117</v>
      </c>
      <c r="G438" s="311"/>
      <c r="H438" s="311"/>
      <c r="I438" s="320"/>
      <c r="J438" s="320"/>
      <c r="K438" s="409"/>
      <c r="L438" s="409"/>
      <c r="M438" s="323"/>
      <c r="N438" s="323"/>
      <c r="O438" s="313"/>
      <c r="P438" s="313"/>
      <c r="Q438" s="323"/>
      <c r="R438" s="323"/>
      <c r="S438" s="313"/>
      <c r="T438" s="313"/>
      <c r="U438" s="131">
        <f t="shared" si="205"/>
        <v>0</v>
      </c>
      <c r="V438" s="131">
        <f t="shared" si="206"/>
        <v>0</v>
      </c>
    </row>
    <row r="439" spans="1:22" s="77" customFormat="1" ht="63" customHeight="1" x14ac:dyDescent="0.25">
      <c r="A439" s="78" t="s">
        <v>845</v>
      </c>
      <c r="B439" s="79" t="s">
        <v>76</v>
      </c>
      <c r="C439" s="79" t="s">
        <v>25</v>
      </c>
      <c r="D439" s="79" t="s">
        <v>58</v>
      </c>
      <c r="E439" s="79" t="s">
        <v>499</v>
      </c>
      <c r="F439" s="79" t="s">
        <v>9</v>
      </c>
      <c r="G439" s="316">
        <f t="shared" ref="G439:T439" si="215">G440</f>
        <v>0</v>
      </c>
      <c r="H439" s="316">
        <f t="shared" si="215"/>
        <v>0</v>
      </c>
      <c r="I439" s="338">
        <f t="shared" si="215"/>
        <v>0</v>
      </c>
      <c r="J439" s="338">
        <f t="shared" si="215"/>
        <v>0</v>
      </c>
      <c r="K439" s="408">
        <f t="shared" si="215"/>
        <v>0</v>
      </c>
      <c r="L439" s="408">
        <f t="shared" si="215"/>
        <v>0</v>
      </c>
      <c r="M439" s="322">
        <f t="shared" si="215"/>
        <v>0</v>
      </c>
      <c r="N439" s="322">
        <f t="shared" si="215"/>
        <v>0</v>
      </c>
      <c r="O439" s="312">
        <f t="shared" si="215"/>
        <v>0</v>
      </c>
      <c r="P439" s="312">
        <f t="shared" si="215"/>
        <v>0</v>
      </c>
      <c r="Q439" s="322">
        <f t="shared" si="215"/>
        <v>0</v>
      </c>
      <c r="R439" s="322">
        <f t="shared" si="215"/>
        <v>0</v>
      </c>
      <c r="S439" s="312">
        <f t="shared" si="215"/>
        <v>0</v>
      </c>
      <c r="T439" s="312">
        <f t="shared" si="215"/>
        <v>0</v>
      </c>
      <c r="U439" s="132">
        <f t="shared" si="205"/>
        <v>0</v>
      </c>
      <c r="V439" s="132">
        <f t="shared" si="206"/>
        <v>0</v>
      </c>
    </row>
    <row r="440" spans="1:22" s="77" customFormat="1" ht="31.5" customHeight="1" x14ac:dyDescent="0.25">
      <c r="A440" s="74" t="s">
        <v>124</v>
      </c>
      <c r="B440" s="75" t="s">
        <v>76</v>
      </c>
      <c r="C440" s="75" t="s">
        <v>25</v>
      </c>
      <c r="D440" s="75" t="s">
        <v>58</v>
      </c>
      <c r="E440" s="75" t="s">
        <v>499</v>
      </c>
      <c r="F440" s="75" t="s">
        <v>117</v>
      </c>
      <c r="G440" s="311"/>
      <c r="H440" s="311"/>
      <c r="I440" s="320"/>
      <c r="J440" s="320"/>
      <c r="K440" s="409"/>
      <c r="L440" s="409"/>
      <c r="M440" s="323"/>
      <c r="N440" s="323"/>
      <c r="O440" s="313"/>
      <c r="P440" s="313"/>
      <c r="Q440" s="323"/>
      <c r="R440" s="323"/>
      <c r="S440" s="313"/>
      <c r="T440" s="313"/>
      <c r="U440" s="131">
        <f t="shared" si="205"/>
        <v>0</v>
      </c>
      <c r="V440" s="131">
        <f t="shared" si="206"/>
        <v>0</v>
      </c>
    </row>
    <row r="441" spans="1:22" s="80" customFormat="1" ht="47.25" customHeight="1" outlineLevel="1" x14ac:dyDescent="0.25">
      <c r="A441" s="78" t="s">
        <v>710</v>
      </c>
      <c r="B441" s="79" t="s">
        <v>76</v>
      </c>
      <c r="C441" s="79" t="s">
        <v>25</v>
      </c>
      <c r="D441" s="79" t="s">
        <v>58</v>
      </c>
      <c r="E441" s="79" t="s">
        <v>706</v>
      </c>
      <c r="F441" s="79" t="s">
        <v>9</v>
      </c>
      <c r="G441" s="316">
        <f t="shared" ref="G441:T441" si="216">G442</f>
        <v>0</v>
      </c>
      <c r="H441" s="316">
        <f t="shared" si="216"/>
        <v>0</v>
      </c>
      <c r="I441" s="338">
        <f t="shared" si="216"/>
        <v>0</v>
      </c>
      <c r="J441" s="338">
        <f t="shared" si="216"/>
        <v>0</v>
      </c>
      <c r="K441" s="408">
        <f t="shared" si="216"/>
        <v>0</v>
      </c>
      <c r="L441" s="408">
        <f t="shared" si="216"/>
        <v>0</v>
      </c>
      <c r="M441" s="322">
        <f t="shared" si="216"/>
        <v>0</v>
      </c>
      <c r="N441" s="322">
        <f t="shared" si="216"/>
        <v>0</v>
      </c>
      <c r="O441" s="312">
        <f t="shared" si="216"/>
        <v>0</v>
      </c>
      <c r="P441" s="312">
        <f t="shared" si="216"/>
        <v>0</v>
      </c>
      <c r="Q441" s="322">
        <f t="shared" si="216"/>
        <v>0</v>
      </c>
      <c r="R441" s="322">
        <f t="shared" si="216"/>
        <v>0</v>
      </c>
      <c r="S441" s="312">
        <f t="shared" si="216"/>
        <v>0</v>
      </c>
      <c r="T441" s="312">
        <f t="shared" si="216"/>
        <v>0</v>
      </c>
      <c r="U441" s="132">
        <f t="shared" si="205"/>
        <v>0</v>
      </c>
      <c r="V441" s="132">
        <f t="shared" si="206"/>
        <v>0</v>
      </c>
    </row>
    <row r="442" spans="1:22" s="80" customFormat="1" ht="15.75" customHeight="1" outlineLevel="1" x14ac:dyDescent="0.25">
      <c r="A442" s="264" t="s">
        <v>116</v>
      </c>
      <c r="B442" s="265" t="s">
        <v>76</v>
      </c>
      <c r="C442" s="265" t="s">
        <v>25</v>
      </c>
      <c r="D442" s="265" t="s">
        <v>58</v>
      </c>
      <c r="E442" s="265" t="s">
        <v>706</v>
      </c>
      <c r="F442" s="265" t="s">
        <v>114</v>
      </c>
      <c r="G442" s="311"/>
      <c r="H442" s="311"/>
      <c r="I442" s="320"/>
      <c r="J442" s="320"/>
      <c r="K442" s="409"/>
      <c r="L442" s="407"/>
      <c r="M442" s="323"/>
      <c r="N442" s="323"/>
      <c r="O442" s="313"/>
      <c r="P442" s="313"/>
      <c r="Q442" s="323"/>
      <c r="R442" s="323"/>
      <c r="S442" s="313"/>
      <c r="T442" s="313"/>
      <c r="U442" s="131">
        <f t="shared" si="205"/>
        <v>0</v>
      </c>
      <c r="V442" s="131">
        <f t="shared" si="206"/>
        <v>0</v>
      </c>
    </row>
    <row r="443" spans="1:22" s="80" customFormat="1" ht="31.5" customHeight="1" x14ac:dyDescent="0.25">
      <c r="A443" s="78" t="s">
        <v>1077</v>
      </c>
      <c r="B443" s="79" t="s">
        <v>76</v>
      </c>
      <c r="C443" s="79" t="s">
        <v>25</v>
      </c>
      <c r="D443" s="79" t="s">
        <v>58</v>
      </c>
      <c r="E443" s="79" t="s">
        <v>678</v>
      </c>
      <c r="F443" s="79" t="s">
        <v>9</v>
      </c>
      <c r="G443" s="316">
        <f t="shared" ref="G443:T443" si="217">G444</f>
        <v>0</v>
      </c>
      <c r="H443" s="316">
        <f t="shared" si="217"/>
        <v>0</v>
      </c>
      <c r="I443" s="338">
        <f t="shared" si="217"/>
        <v>0</v>
      </c>
      <c r="J443" s="338">
        <f t="shared" si="217"/>
        <v>0</v>
      </c>
      <c r="K443" s="408">
        <f t="shared" si="217"/>
        <v>0</v>
      </c>
      <c r="L443" s="408">
        <f t="shared" si="217"/>
        <v>0</v>
      </c>
      <c r="M443" s="322">
        <f t="shared" si="217"/>
        <v>0</v>
      </c>
      <c r="N443" s="322">
        <f t="shared" si="217"/>
        <v>0</v>
      </c>
      <c r="O443" s="312">
        <f t="shared" si="217"/>
        <v>0</v>
      </c>
      <c r="P443" s="312">
        <f t="shared" si="217"/>
        <v>0</v>
      </c>
      <c r="Q443" s="322">
        <f t="shared" si="217"/>
        <v>0</v>
      </c>
      <c r="R443" s="322">
        <f t="shared" si="217"/>
        <v>0</v>
      </c>
      <c r="S443" s="312">
        <f t="shared" si="217"/>
        <v>0</v>
      </c>
      <c r="T443" s="312">
        <f t="shared" si="217"/>
        <v>0</v>
      </c>
      <c r="U443" s="132">
        <f t="shared" si="205"/>
        <v>0</v>
      </c>
      <c r="V443" s="132">
        <f t="shared" si="206"/>
        <v>0</v>
      </c>
    </row>
    <row r="444" spans="1:22" s="80" customFormat="1" ht="15.75" customHeight="1" x14ac:dyDescent="0.25">
      <c r="A444" s="74" t="s">
        <v>116</v>
      </c>
      <c r="B444" s="75" t="s">
        <v>76</v>
      </c>
      <c r="C444" s="75" t="s">
        <v>25</v>
      </c>
      <c r="D444" s="75" t="s">
        <v>58</v>
      </c>
      <c r="E444" s="75" t="s">
        <v>678</v>
      </c>
      <c r="F444" s="75" t="s">
        <v>114</v>
      </c>
      <c r="G444" s="311"/>
      <c r="H444" s="311"/>
      <c r="I444" s="320"/>
      <c r="J444" s="320"/>
      <c r="K444" s="409"/>
      <c r="L444" s="407"/>
      <c r="M444" s="323"/>
      <c r="N444" s="323"/>
      <c r="O444" s="313"/>
      <c r="P444" s="313"/>
      <c r="Q444" s="323"/>
      <c r="R444" s="323"/>
      <c r="S444" s="313"/>
      <c r="T444" s="313"/>
      <c r="U444" s="131">
        <f t="shared" si="205"/>
        <v>0</v>
      </c>
      <c r="V444" s="131">
        <f t="shared" si="206"/>
        <v>0</v>
      </c>
    </row>
    <row r="445" spans="1:22" s="77" customFormat="1" ht="47.25" customHeight="1" outlineLevel="1" x14ac:dyDescent="0.25">
      <c r="A445" s="78" t="s">
        <v>710</v>
      </c>
      <c r="B445" s="79" t="s">
        <v>76</v>
      </c>
      <c r="C445" s="79" t="s">
        <v>25</v>
      </c>
      <c r="D445" s="79" t="s">
        <v>58</v>
      </c>
      <c r="E445" s="79" t="s">
        <v>844</v>
      </c>
      <c r="F445" s="79" t="s">
        <v>9</v>
      </c>
      <c r="G445" s="316">
        <f t="shared" ref="G445:T445" si="218">G446</f>
        <v>0</v>
      </c>
      <c r="H445" s="316">
        <f t="shared" si="218"/>
        <v>0</v>
      </c>
      <c r="I445" s="338">
        <f t="shared" si="218"/>
        <v>0</v>
      </c>
      <c r="J445" s="338">
        <f t="shared" si="218"/>
        <v>0</v>
      </c>
      <c r="K445" s="408">
        <f t="shared" si="218"/>
        <v>0</v>
      </c>
      <c r="L445" s="408">
        <f t="shared" si="218"/>
        <v>0</v>
      </c>
      <c r="M445" s="322">
        <f t="shared" si="218"/>
        <v>0</v>
      </c>
      <c r="N445" s="322">
        <f t="shared" si="218"/>
        <v>0</v>
      </c>
      <c r="O445" s="312">
        <f t="shared" si="218"/>
        <v>0</v>
      </c>
      <c r="P445" s="312">
        <f t="shared" si="218"/>
        <v>0</v>
      </c>
      <c r="Q445" s="322">
        <f t="shared" si="218"/>
        <v>0</v>
      </c>
      <c r="R445" s="322">
        <f t="shared" si="218"/>
        <v>0</v>
      </c>
      <c r="S445" s="312">
        <f t="shared" si="218"/>
        <v>0</v>
      </c>
      <c r="T445" s="312">
        <f t="shared" si="218"/>
        <v>0</v>
      </c>
      <c r="U445" s="132">
        <f t="shared" si="205"/>
        <v>0</v>
      </c>
      <c r="V445" s="132">
        <f t="shared" si="206"/>
        <v>0</v>
      </c>
    </row>
    <row r="446" spans="1:22" s="80" customFormat="1" ht="15.75" customHeight="1" outlineLevel="1" x14ac:dyDescent="0.25">
      <c r="A446" s="264" t="s">
        <v>116</v>
      </c>
      <c r="B446" s="265" t="s">
        <v>76</v>
      </c>
      <c r="C446" s="265" t="s">
        <v>25</v>
      </c>
      <c r="D446" s="265" t="s">
        <v>58</v>
      </c>
      <c r="E446" s="265" t="s">
        <v>844</v>
      </c>
      <c r="F446" s="265" t="s">
        <v>114</v>
      </c>
      <c r="G446" s="311"/>
      <c r="H446" s="311"/>
      <c r="I446" s="320"/>
      <c r="J446" s="320"/>
      <c r="K446" s="409"/>
      <c r="L446" s="409"/>
      <c r="M446" s="323"/>
      <c r="N446" s="323"/>
      <c r="O446" s="313"/>
      <c r="P446" s="313"/>
      <c r="Q446" s="323"/>
      <c r="R446" s="323"/>
      <c r="S446" s="313"/>
      <c r="T446" s="313"/>
      <c r="U446" s="131">
        <f t="shared" si="205"/>
        <v>0</v>
      </c>
      <c r="V446" s="131">
        <f t="shared" si="206"/>
        <v>0</v>
      </c>
    </row>
    <row r="447" spans="1:22" s="80" customFormat="1" ht="31.5" customHeight="1" x14ac:dyDescent="0.25">
      <c r="A447" s="78" t="s">
        <v>1077</v>
      </c>
      <c r="B447" s="79" t="s">
        <v>76</v>
      </c>
      <c r="C447" s="79" t="s">
        <v>25</v>
      </c>
      <c r="D447" s="79" t="s">
        <v>58</v>
      </c>
      <c r="E447" s="79" t="s">
        <v>679</v>
      </c>
      <c r="F447" s="79" t="s">
        <v>9</v>
      </c>
      <c r="G447" s="316">
        <f t="shared" ref="G447:T447" si="219">G448</f>
        <v>127.7</v>
      </c>
      <c r="H447" s="316">
        <f t="shared" si="219"/>
        <v>0</v>
      </c>
      <c r="I447" s="338">
        <f t="shared" si="219"/>
        <v>54.4</v>
      </c>
      <c r="J447" s="338">
        <f t="shared" si="219"/>
        <v>0</v>
      </c>
      <c r="K447" s="408">
        <f t="shared" si="219"/>
        <v>-127.7</v>
      </c>
      <c r="L447" s="408">
        <f t="shared" si="219"/>
        <v>-54.4</v>
      </c>
      <c r="M447" s="322">
        <f t="shared" si="219"/>
        <v>0</v>
      </c>
      <c r="N447" s="322">
        <f t="shared" si="219"/>
        <v>0</v>
      </c>
      <c r="O447" s="312">
        <f t="shared" si="219"/>
        <v>0</v>
      </c>
      <c r="P447" s="312">
        <f t="shared" si="219"/>
        <v>0</v>
      </c>
      <c r="Q447" s="322">
        <f t="shared" si="219"/>
        <v>0</v>
      </c>
      <c r="R447" s="322">
        <f t="shared" si="219"/>
        <v>0</v>
      </c>
      <c r="S447" s="312">
        <f t="shared" si="219"/>
        <v>0</v>
      </c>
      <c r="T447" s="312">
        <f t="shared" si="219"/>
        <v>0</v>
      </c>
      <c r="U447" s="132">
        <f t="shared" si="205"/>
        <v>0</v>
      </c>
      <c r="V447" s="132">
        <f t="shared" si="206"/>
        <v>0</v>
      </c>
    </row>
    <row r="448" spans="1:22" s="80" customFormat="1" ht="15.75" customHeight="1" x14ac:dyDescent="0.25">
      <c r="A448" s="74" t="s">
        <v>116</v>
      </c>
      <c r="B448" s="75" t="s">
        <v>76</v>
      </c>
      <c r="C448" s="75" t="s">
        <v>25</v>
      </c>
      <c r="D448" s="75" t="s">
        <v>58</v>
      </c>
      <c r="E448" s="75" t="s">
        <v>679</v>
      </c>
      <c r="F448" s="75" t="s">
        <v>114</v>
      </c>
      <c r="G448" s="311">
        <v>127.7</v>
      </c>
      <c r="H448" s="311"/>
      <c r="I448" s="320">
        <v>54.4</v>
      </c>
      <c r="J448" s="320"/>
      <c r="K448" s="409">
        <v>-127.7</v>
      </c>
      <c r="L448" s="407">
        <v>-54.4</v>
      </c>
      <c r="M448" s="323"/>
      <c r="N448" s="323"/>
      <c r="O448" s="313"/>
      <c r="P448" s="313"/>
      <c r="Q448" s="323"/>
      <c r="R448" s="323"/>
      <c r="S448" s="313"/>
      <c r="T448" s="313"/>
      <c r="U448" s="131">
        <f t="shared" si="205"/>
        <v>0</v>
      </c>
      <c r="V448" s="131">
        <f t="shared" si="206"/>
        <v>0</v>
      </c>
    </row>
    <row r="449" spans="1:22" s="80" customFormat="1" ht="31.5" x14ac:dyDescent="0.25">
      <c r="A449" s="78" t="s">
        <v>1077</v>
      </c>
      <c r="B449" s="79" t="s">
        <v>76</v>
      </c>
      <c r="C449" s="79" t="s">
        <v>25</v>
      </c>
      <c r="D449" s="79" t="s">
        <v>58</v>
      </c>
      <c r="E449" s="79" t="s">
        <v>1078</v>
      </c>
      <c r="F449" s="79" t="s">
        <v>9</v>
      </c>
      <c r="G449" s="316">
        <f t="shared" ref="G449:T449" si="220">G450</f>
        <v>8.1999999999999993</v>
      </c>
      <c r="H449" s="316">
        <f t="shared" si="220"/>
        <v>0</v>
      </c>
      <c r="I449" s="338">
        <f t="shared" si="220"/>
        <v>4.0999999999999996</v>
      </c>
      <c r="J449" s="338">
        <f t="shared" si="220"/>
        <v>0</v>
      </c>
      <c r="K449" s="410">
        <f t="shared" si="220"/>
        <v>127.7</v>
      </c>
      <c r="L449" s="410">
        <f t="shared" si="220"/>
        <v>54.4</v>
      </c>
      <c r="M449" s="324">
        <f t="shared" si="220"/>
        <v>0</v>
      </c>
      <c r="N449" s="324">
        <f t="shared" si="220"/>
        <v>0</v>
      </c>
      <c r="O449" s="315">
        <f t="shared" si="220"/>
        <v>0</v>
      </c>
      <c r="P449" s="315">
        <f t="shared" si="220"/>
        <v>0</v>
      </c>
      <c r="Q449" s="324">
        <f t="shared" si="220"/>
        <v>0</v>
      </c>
      <c r="R449" s="324">
        <f t="shared" si="220"/>
        <v>0</v>
      </c>
      <c r="S449" s="315">
        <f t="shared" si="220"/>
        <v>0</v>
      </c>
      <c r="T449" s="315">
        <f t="shared" si="220"/>
        <v>0</v>
      </c>
      <c r="U449" s="132">
        <f t="shared" si="205"/>
        <v>135.9</v>
      </c>
      <c r="V449" s="132">
        <f t="shared" si="206"/>
        <v>58.5</v>
      </c>
    </row>
    <row r="450" spans="1:22" s="80" customFormat="1" x14ac:dyDescent="0.25">
      <c r="A450" s="74" t="s">
        <v>116</v>
      </c>
      <c r="B450" s="75" t="s">
        <v>76</v>
      </c>
      <c r="C450" s="75" t="s">
        <v>25</v>
      </c>
      <c r="D450" s="75" t="s">
        <v>58</v>
      </c>
      <c r="E450" s="75" t="s">
        <v>1078</v>
      </c>
      <c r="F450" s="75" t="s">
        <v>114</v>
      </c>
      <c r="G450" s="311">
        <v>8.1999999999999993</v>
      </c>
      <c r="H450" s="311"/>
      <c r="I450" s="320">
        <v>4.0999999999999996</v>
      </c>
      <c r="J450" s="320"/>
      <c r="K450" s="409">
        <v>127.7</v>
      </c>
      <c r="L450" s="407">
        <v>54.4</v>
      </c>
      <c r="M450" s="323"/>
      <c r="N450" s="323"/>
      <c r="O450" s="313"/>
      <c r="P450" s="313"/>
      <c r="Q450" s="323"/>
      <c r="R450" s="323"/>
      <c r="S450" s="313"/>
      <c r="T450" s="313"/>
      <c r="U450" s="131">
        <f t="shared" si="205"/>
        <v>135.9</v>
      </c>
      <c r="V450" s="131">
        <f t="shared" si="206"/>
        <v>58.5</v>
      </c>
    </row>
    <row r="451" spans="1:22" s="80" customFormat="1" ht="15.75" customHeight="1" outlineLevel="1" x14ac:dyDescent="0.25">
      <c r="A451" s="78" t="s">
        <v>518</v>
      </c>
      <c r="B451" s="79" t="s">
        <v>76</v>
      </c>
      <c r="C451" s="79" t="s">
        <v>25</v>
      </c>
      <c r="D451" s="79" t="s">
        <v>12</v>
      </c>
      <c r="E451" s="79" t="s">
        <v>365</v>
      </c>
      <c r="F451" s="79" t="s">
        <v>9</v>
      </c>
      <c r="G451" s="316">
        <f t="shared" ref="G451:T453" si="221">G452</f>
        <v>0</v>
      </c>
      <c r="H451" s="316">
        <f t="shared" si="221"/>
        <v>2892.2</v>
      </c>
      <c r="I451" s="338">
        <f t="shared" si="221"/>
        <v>0</v>
      </c>
      <c r="J451" s="338">
        <f t="shared" si="221"/>
        <v>3192.2</v>
      </c>
      <c r="K451" s="408">
        <f t="shared" si="221"/>
        <v>0</v>
      </c>
      <c r="L451" s="408">
        <f t="shared" si="221"/>
        <v>0</v>
      </c>
      <c r="M451" s="322">
        <f t="shared" si="221"/>
        <v>0</v>
      </c>
      <c r="N451" s="322">
        <f t="shared" si="221"/>
        <v>0</v>
      </c>
      <c r="O451" s="312">
        <f t="shared" si="221"/>
        <v>0</v>
      </c>
      <c r="P451" s="312">
        <f t="shared" si="221"/>
        <v>0</v>
      </c>
      <c r="Q451" s="322">
        <f t="shared" si="221"/>
        <v>0</v>
      </c>
      <c r="R451" s="322">
        <f t="shared" si="221"/>
        <v>0</v>
      </c>
      <c r="S451" s="312">
        <f t="shared" si="221"/>
        <v>0</v>
      </c>
      <c r="T451" s="312">
        <f t="shared" si="221"/>
        <v>0</v>
      </c>
      <c r="U451" s="132">
        <f t="shared" si="205"/>
        <v>2892.2</v>
      </c>
      <c r="V451" s="132">
        <f t="shared" si="206"/>
        <v>3192.2</v>
      </c>
    </row>
    <row r="452" spans="1:22" s="80" customFormat="1" ht="31.5" customHeight="1" outlineLevel="1" x14ac:dyDescent="0.25">
      <c r="A452" s="78" t="s">
        <v>784</v>
      </c>
      <c r="B452" s="79" t="s">
        <v>76</v>
      </c>
      <c r="C452" s="79" t="s">
        <v>25</v>
      </c>
      <c r="D452" s="79" t="s">
        <v>12</v>
      </c>
      <c r="E452" s="79" t="s">
        <v>380</v>
      </c>
      <c r="F452" s="79" t="s">
        <v>9</v>
      </c>
      <c r="G452" s="316">
        <f t="shared" si="221"/>
        <v>0</v>
      </c>
      <c r="H452" s="316">
        <f t="shared" si="221"/>
        <v>2892.2</v>
      </c>
      <c r="I452" s="338">
        <f t="shared" si="221"/>
        <v>0</v>
      </c>
      <c r="J452" s="338">
        <f t="shared" si="221"/>
        <v>3192.2</v>
      </c>
      <c r="K452" s="408">
        <f t="shared" si="221"/>
        <v>0</v>
      </c>
      <c r="L452" s="408">
        <f t="shared" si="221"/>
        <v>0</v>
      </c>
      <c r="M452" s="322">
        <f t="shared" si="221"/>
        <v>0</v>
      </c>
      <c r="N452" s="322">
        <f t="shared" si="221"/>
        <v>0</v>
      </c>
      <c r="O452" s="312">
        <f t="shared" si="221"/>
        <v>0</v>
      </c>
      <c r="P452" s="312">
        <f t="shared" si="221"/>
        <v>0</v>
      </c>
      <c r="Q452" s="322">
        <f t="shared" si="221"/>
        <v>0</v>
      </c>
      <c r="R452" s="322">
        <f t="shared" si="221"/>
        <v>0</v>
      </c>
      <c r="S452" s="312">
        <f t="shared" si="221"/>
        <v>0</v>
      </c>
      <c r="T452" s="312">
        <f t="shared" si="221"/>
        <v>0</v>
      </c>
      <c r="U452" s="132">
        <f t="shared" si="205"/>
        <v>2892.2</v>
      </c>
      <c r="V452" s="132">
        <f t="shared" si="206"/>
        <v>3192.2</v>
      </c>
    </row>
    <row r="453" spans="1:22" s="77" customFormat="1" ht="15.75" customHeight="1" outlineLevel="1" x14ac:dyDescent="0.25">
      <c r="A453" s="78" t="s">
        <v>692</v>
      </c>
      <c r="B453" s="79" t="s">
        <v>76</v>
      </c>
      <c r="C453" s="79" t="s">
        <v>25</v>
      </c>
      <c r="D453" s="79" t="s">
        <v>12</v>
      </c>
      <c r="E453" s="79" t="s">
        <v>381</v>
      </c>
      <c r="F453" s="79" t="s">
        <v>9</v>
      </c>
      <c r="G453" s="316">
        <f t="shared" si="221"/>
        <v>0</v>
      </c>
      <c r="H453" s="316">
        <f t="shared" si="221"/>
        <v>2892.2</v>
      </c>
      <c r="I453" s="338">
        <f t="shared" si="221"/>
        <v>0</v>
      </c>
      <c r="J453" s="338">
        <f t="shared" si="221"/>
        <v>3192.2</v>
      </c>
      <c r="K453" s="408">
        <f t="shared" si="221"/>
        <v>0</v>
      </c>
      <c r="L453" s="408">
        <f t="shared" si="221"/>
        <v>0</v>
      </c>
      <c r="M453" s="322">
        <f t="shared" si="221"/>
        <v>0</v>
      </c>
      <c r="N453" s="322">
        <f t="shared" si="221"/>
        <v>0</v>
      </c>
      <c r="O453" s="312">
        <f t="shared" si="221"/>
        <v>0</v>
      </c>
      <c r="P453" s="312">
        <f t="shared" si="221"/>
        <v>0</v>
      </c>
      <c r="Q453" s="322">
        <f t="shared" si="221"/>
        <v>0</v>
      </c>
      <c r="R453" s="322">
        <f t="shared" si="221"/>
        <v>0</v>
      </c>
      <c r="S453" s="312">
        <f t="shared" si="221"/>
        <v>0</v>
      </c>
      <c r="T453" s="312">
        <f t="shared" si="221"/>
        <v>0</v>
      </c>
      <c r="U453" s="132">
        <f t="shared" si="205"/>
        <v>2892.2</v>
      </c>
      <c r="V453" s="132">
        <f t="shared" si="206"/>
        <v>3192.2</v>
      </c>
    </row>
    <row r="454" spans="1:22" s="80" customFormat="1" ht="31.5" customHeight="1" outlineLevel="1" x14ac:dyDescent="0.25">
      <c r="A454" s="78" t="s">
        <v>519</v>
      </c>
      <c r="B454" s="79" t="s">
        <v>76</v>
      </c>
      <c r="C454" s="79" t="s">
        <v>25</v>
      </c>
      <c r="D454" s="79" t="s">
        <v>12</v>
      </c>
      <c r="E454" s="79" t="s">
        <v>517</v>
      </c>
      <c r="F454" s="79" t="s">
        <v>9</v>
      </c>
      <c r="G454" s="316">
        <f t="shared" ref="G454:T454" si="222">G456+G455</f>
        <v>0</v>
      </c>
      <c r="H454" s="316">
        <f>H456+H455</f>
        <v>2892.2</v>
      </c>
      <c r="I454" s="338">
        <f t="shared" si="222"/>
        <v>0</v>
      </c>
      <c r="J454" s="338">
        <f>J456+J455</f>
        <v>3192.2</v>
      </c>
      <c r="K454" s="408">
        <f t="shared" si="222"/>
        <v>0</v>
      </c>
      <c r="L454" s="408">
        <f t="shared" si="222"/>
        <v>0</v>
      </c>
      <c r="M454" s="322">
        <f t="shared" si="222"/>
        <v>0</v>
      </c>
      <c r="N454" s="322">
        <f t="shared" si="222"/>
        <v>0</v>
      </c>
      <c r="O454" s="312">
        <f t="shared" si="222"/>
        <v>0</v>
      </c>
      <c r="P454" s="312">
        <f t="shared" si="222"/>
        <v>0</v>
      </c>
      <c r="Q454" s="322">
        <f t="shared" si="222"/>
        <v>0</v>
      </c>
      <c r="R454" s="322">
        <f t="shared" si="222"/>
        <v>0</v>
      </c>
      <c r="S454" s="312">
        <f t="shared" si="222"/>
        <v>0</v>
      </c>
      <c r="T454" s="312">
        <f t="shared" si="222"/>
        <v>0</v>
      </c>
      <c r="U454" s="132">
        <f t="shared" si="205"/>
        <v>2892.2</v>
      </c>
      <c r="V454" s="132">
        <f t="shared" si="206"/>
        <v>3192.2</v>
      </c>
    </row>
    <row r="455" spans="1:22" s="80" customFormat="1" ht="31.5" customHeight="1" outlineLevel="1" x14ac:dyDescent="0.25">
      <c r="A455" s="264" t="s">
        <v>124</v>
      </c>
      <c r="B455" s="265" t="s">
        <v>76</v>
      </c>
      <c r="C455" s="265" t="s">
        <v>25</v>
      </c>
      <c r="D455" s="265" t="s">
        <v>12</v>
      </c>
      <c r="E455" s="265" t="s">
        <v>517</v>
      </c>
      <c r="F455" s="265" t="s">
        <v>117</v>
      </c>
      <c r="G455" s="311"/>
      <c r="H455" s="311">
        <f>3600-1206.13-93.87+592.2</f>
        <v>2892.2</v>
      </c>
      <c r="I455" s="320"/>
      <c r="J455" s="320">
        <f>3600-1000+592.2</f>
        <v>3192.2</v>
      </c>
      <c r="K455" s="407"/>
      <c r="L455" s="407"/>
      <c r="M455" s="321"/>
      <c r="N455" s="321"/>
      <c r="O455" s="310"/>
      <c r="P455" s="310"/>
      <c r="Q455" s="321"/>
      <c r="R455" s="321"/>
      <c r="S455" s="310"/>
      <c r="T455" s="310"/>
      <c r="U455" s="131">
        <f t="shared" si="205"/>
        <v>2892.2</v>
      </c>
      <c r="V455" s="131">
        <f t="shared" si="206"/>
        <v>3192.2</v>
      </c>
    </row>
    <row r="456" spans="1:22" s="77" customFormat="1" ht="16.5" customHeight="1" outlineLevel="1" x14ac:dyDescent="0.25">
      <c r="A456" s="266" t="s">
        <v>116</v>
      </c>
      <c r="B456" s="265" t="s">
        <v>76</v>
      </c>
      <c r="C456" s="265" t="s">
        <v>25</v>
      </c>
      <c r="D456" s="265" t="s">
        <v>12</v>
      </c>
      <c r="E456" s="265" t="s">
        <v>517</v>
      </c>
      <c r="F456" s="265" t="s">
        <v>114</v>
      </c>
      <c r="G456" s="311"/>
      <c r="H456" s="311"/>
      <c r="I456" s="320"/>
      <c r="J456" s="320"/>
      <c r="K456" s="409"/>
      <c r="L456" s="409"/>
      <c r="M456" s="323"/>
      <c r="N456" s="323"/>
      <c r="O456" s="313"/>
      <c r="P456" s="313"/>
      <c r="Q456" s="323"/>
      <c r="R456" s="323"/>
      <c r="S456" s="313"/>
      <c r="T456" s="313"/>
      <c r="U456" s="131">
        <f t="shared" si="205"/>
        <v>0</v>
      </c>
      <c r="V456" s="131">
        <f t="shared" si="206"/>
        <v>0</v>
      </c>
    </row>
    <row r="457" spans="1:22" s="80" customFormat="1" x14ac:dyDescent="0.25">
      <c r="A457" s="78" t="s">
        <v>85</v>
      </c>
      <c r="B457" s="79" t="s">
        <v>76</v>
      </c>
      <c r="C457" s="79" t="s">
        <v>25</v>
      </c>
      <c r="D457" s="79" t="s">
        <v>44</v>
      </c>
      <c r="E457" s="79" t="s">
        <v>365</v>
      </c>
      <c r="F457" s="79" t="s">
        <v>9</v>
      </c>
      <c r="G457" s="316">
        <f t="shared" ref="G457:T457" si="223">G480+G458</f>
        <v>235380.2</v>
      </c>
      <c r="H457" s="316">
        <f t="shared" si="223"/>
        <v>575.1</v>
      </c>
      <c r="I457" s="338">
        <f t="shared" si="223"/>
        <v>19959</v>
      </c>
      <c r="J457" s="338">
        <f t="shared" si="223"/>
        <v>2976.6</v>
      </c>
      <c r="K457" s="408">
        <f t="shared" si="223"/>
        <v>0</v>
      </c>
      <c r="L457" s="408">
        <f t="shared" si="223"/>
        <v>0</v>
      </c>
      <c r="M457" s="322">
        <f t="shared" si="223"/>
        <v>0</v>
      </c>
      <c r="N457" s="322">
        <f t="shared" si="223"/>
        <v>0</v>
      </c>
      <c r="O457" s="312">
        <f t="shared" si="223"/>
        <v>0</v>
      </c>
      <c r="P457" s="312">
        <f t="shared" si="223"/>
        <v>0</v>
      </c>
      <c r="Q457" s="322">
        <f t="shared" si="223"/>
        <v>0</v>
      </c>
      <c r="R457" s="322">
        <f t="shared" si="223"/>
        <v>0</v>
      </c>
      <c r="S457" s="312">
        <f t="shared" si="223"/>
        <v>0</v>
      </c>
      <c r="T457" s="312">
        <f t="shared" si="223"/>
        <v>0</v>
      </c>
      <c r="U457" s="132">
        <f t="shared" si="205"/>
        <v>235955.30000000002</v>
      </c>
      <c r="V457" s="132">
        <f t="shared" si="206"/>
        <v>22935.599999999999</v>
      </c>
    </row>
    <row r="458" spans="1:22" s="80" customFormat="1" ht="31.5" x14ac:dyDescent="0.25">
      <c r="A458" s="78" t="s">
        <v>787</v>
      </c>
      <c r="B458" s="79" t="s">
        <v>76</v>
      </c>
      <c r="C458" s="79" t="s">
        <v>25</v>
      </c>
      <c r="D458" s="79" t="s">
        <v>44</v>
      </c>
      <c r="E458" s="79" t="s">
        <v>495</v>
      </c>
      <c r="F458" s="79" t="s">
        <v>9</v>
      </c>
      <c r="G458" s="316">
        <f t="shared" ref="G458:T458" si="224">G459</f>
        <v>0</v>
      </c>
      <c r="H458" s="316">
        <f t="shared" si="224"/>
        <v>0</v>
      </c>
      <c r="I458" s="338">
        <f t="shared" si="224"/>
        <v>0</v>
      </c>
      <c r="J458" s="338">
        <f t="shared" si="224"/>
        <v>0</v>
      </c>
      <c r="K458" s="408">
        <f t="shared" si="224"/>
        <v>214464.24</v>
      </c>
      <c r="L458" s="408">
        <f t="shared" si="224"/>
        <v>0</v>
      </c>
      <c r="M458" s="322">
        <f t="shared" si="224"/>
        <v>0</v>
      </c>
      <c r="N458" s="322">
        <f t="shared" si="224"/>
        <v>0</v>
      </c>
      <c r="O458" s="312">
        <f t="shared" si="224"/>
        <v>-7.1999999999999995E-2</v>
      </c>
      <c r="P458" s="312">
        <f t="shared" si="224"/>
        <v>0</v>
      </c>
      <c r="Q458" s="322">
        <f t="shared" si="224"/>
        <v>0</v>
      </c>
      <c r="R458" s="322">
        <f t="shared" si="224"/>
        <v>0</v>
      </c>
      <c r="S458" s="312">
        <f t="shared" si="224"/>
        <v>0</v>
      </c>
      <c r="T458" s="312">
        <f t="shared" si="224"/>
        <v>0</v>
      </c>
      <c r="U458" s="132">
        <f t="shared" si="205"/>
        <v>214464.16800000001</v>
      </c>
      <c r="V458" s="132">
        <f t="shared" si="206"/>
        <v>0</v>
      </c>
    </row>
    <row r="459" spans="1:22" s="80" customFormat="1" ht="31.5" x14ac:dyDescent="0.25">
      <c r="A459" s="78" t="s">
        <v>1177</v>
      </c>
      <c r="B459" s="79" t="s">
        <v>76</v>
      </c>
      <c r="C459" s="79" t="s">
        <v>25</v>
      </c>
      <c r="D459" s="79" t="s">
        <v>44</v>
      </c>
      <c r="E459" s="79" t="s">
        <v>966</v>
      </c>
      <c r="F459" s="79" t="s">
        <v>9</v>
      </c>
      <c r="G459" s="316">
        <f>G465+G475+G470+G460+G463</f>
        <v>0</v>
      </c>
      <c r="H459" s="316">
        <f>H465+H475+H470+H460+H463</f>
        <v>0</v>
      </c>
      <c r="I459" s="316">
        <f>I465+I475+I470+I460+I463</f>
        <v>0</v>
      </c>
      <c r="J459" s="316">
        <f>J465+J475+J470+J460+J463</f>
        <v>0</v>
      </c>
      <c r="K459" s="316">
        <f>K461+K463</f>
        <v>214464.24</v>
      </c>
      <c r="L459" s="316">
        <f t="shared" ref="L459:T459" si="225">L461+L463</f>
        <v>0</v>
      </c>
      <c r="M459" s="316">
        <f t="shared" si="225"/>
        <v>0</v>
      </c>
      <c r="N459" s="316">
        <f t="shared" si="225"/>
        <v>0</v>
      </c>
      <c r="O459" s="316">
        <f t="shared" si="225"/>
        <v>-7.1999999999999995E-2</v>
      </c>
      <c r="P459" s="316">
        <f t="shared" si="225"/>
        <v>0</v>
      </c>
      <c r="Q459" s="316">
        <f t="shared" si="225"/>
        <v>0</v>
      </c>
      <c r="R459" s="316">
        <f t="shared" si="225"/>
        <v>0</v>
      </c>
      <c r="S459" s="316">
        <f t="shared" si="225"/>
        <v>0</v>
      </c>
      <c r="T459" s="316">
        <f t="shared" si="225"/>
        <v>0</v>
      </c>
      <c r="U459" s="132">
        <f t="shared" si="205"/>
        <v>214464.16800000001</v>
      </c>
      <c r="V459" s="132">
        <f t="shared" si="206"/>
        <v>0</v>
      </c>
    </row>
    <row r="460" spans="1:22" s="80" customFormat="1" ht="47.25" x14ac:dyDescent="0.25">
      <c r="A460" s="78" t="s">
        <v>41</v>
      </c>
      <c r="B460" s="79" t="s">
        <v>76</v>
      </c>
      <c r="C460" s="79" t="s">
        <v>25</v>
      </c>
      <c r="D460" s="79" t="s">
        <v>44</v>
      </c>
      <c r="E460" s="79" t="s">
        <v>1180</v>
      </c>
      <c r="F460" s="79" t="s">
        <v>9</v>
      </c>
      <c r="G460" s="316">
        <f>G461</f>
        <v>0</v>
      </c>
      <c r="H460" s="316">
        <f t="shared" ref="H460:T461" si="226">H461</f>
        <v>0</v>
      </c>
      <c r="I460" s="316">
        <f t="shared" si="226"/>
        <v>0</v>
      </c>
      <c r="J460" s="316">
        <f t="shared" si="226"/>
        <v>0</v>
      </c>
      <c r="K460" s="316">
        <v>0</v>
      </c>
      <c r="L460" s="316">
        <f t="shared" si="226"/>
        <v>0</v>
      </c>
      <c r="M460" s="316">
        <f t="shared" si="226"/>
        <v>0</v>
      </c>
      <c r="N460" s="316">
        <f t="shared" si="226"/>
        <v>0</v>
      </c>
      <c r="O460" s="316">
        <f t="shared" si="226"/>
        <v>0</v>
      </c>
      <c r="P460" s="316">
        <f t="shared" si="226"/>
        <v>0</v>
      </c>
      <c r="Q460" s="316">
        <f t="shared" si="226"/>
        <v>0</v>
      </c>
      <c r="R460" s="316">
        <f t="shared" si="226"/>
        <v>0</v>
      </c>
      <c r="S460" s="316">
        <f t="shared" si="226"/>
        <v>0</v>
      </c>
      <c r="T460" s="316">
        <f t="shared" si="226"/>
        <v>0</v>
      </c>
      <c r="U460" s="132">
        <f t="shared" si="205"/>
        <v>0</v>
      </c>
      <c r="V460" s="132">
        <f t="shared" si="206"/>
        <v>0</v>
      </c>
    </row>
    <row r="461" spans="1:22" s="80" customFormat="1" ht="78.75" x14ac:dyDescent="0.25">
      <c r="A461" s="78" t="s">
        <v>1125</v>
      </c>
      <c r="B461" s="79" t="s">
        <v>76</v>
      </c>
      <c r="C461" s="79" t="s">
        <v>25</v>
      </c>
      <c r="D461" s="79" t="s">
        <v>44</v>
      </c>
      <c r="E461" s="79" t="s">
        <v>968</v>
      </c>
      <c r="F461" s="79" t="s">
        <v>9</v>
      </c>
      <c r="G461" s="316">
        <f>G462</f>
        <v>0</v>
      </c>
      <c r="H461" s="316">
        <f t="shared" si="226"/>
        <v>0</v>
      </c>
      <c r="I461" s="316">
        <f t="shared" si="226"/>
        <v>0</v>
      </c>
      <c r="J461" s="316">
        <f t="shared" si="226"/>
        <v>0</v>
      </c>
      <c r="K461" s="316">
        <f t="shared" si="226"/>
        <v>212319.5</v>
      </c>
      <c r="L461" s="316">
        <f t="shared" si="226"/>
        <v>0</v>
      </c>
      <c r="M461" s="316">
        <f t="shared" si="226"/>
        <v>0</v>
      </c>
      <c r="N461" s="316">
        <f t="shared" si="226"/>
        <v>0</v>
      </c>
      <c r="O461" s="316">
        <f t="shared" si="226"/>
        <v>0</v>
      </c>
      <c r="P461" s="316">
        <f t="shared" si="226"/>
        <v>0</v>
      </c>
      <c r="Q461" s="316">
        <f t="shared" si="226"/>
        <v>0</v>
      </c>
      <c r="R461" s="316">
        <f t="shared" si="226"/>
        <v>0</v>
      </c>
      <c r="S461" s="316">
        <f t="shared" si="226"/>
        <v>0</v>
      </c>
      <c r="T461" s="316">
        <f t="shared" si="226"/>
        <v>0</v>
      </c>
      <c r="U461" s="132">
        <f t="shared" si="205"/>
        <v>212319.5</v>
      </c>
      <c r="V461" s="132">
        <f t="shared" si="206"/>
        <v>0</v>
      </c>
    </row>
    <row r="462" spans="1:22" s="77" customFormat="1" ht="31.5" x14ac:dyDescent="0.25">
      <c r="A462" s="74" t="s">
        <v>124</v>
      </c>
      <c r="B462" s="75" t="s">
        <v>76</v>
      </c>
      <c r="C462" s="75" t="s">
        <v>25</v>
      </c>
      <c r="D462" s="75" t="s">
        <v>44</v>
      </c>
      <c r="E462" s="75" t="s">
        <v>968</v>
      </c>
      <c r="F462" s="75" t="s">
        <v>117</v>
      </c>
      <c r="G462" s="311"/>
      <c r="H462" s="311"/>
      <c r="I462" s="320"/>
      <c r="J462" s="320"/>
      <c r="K462" s="407">
        <v>212319.5</v>
      </c>
      <c r="L462" s="407"/>
      <c r="M462" s="321"/>
      <c r="N462" s="321"/>
      <c r="O462" s="310"/>
      <c r="P462" s="310"/>
      <c r="Q462" s="321"/>
      <c r="R462" s="321"/>
      <c r="S462" s="310"/>
      <c r="T462" s="310"/>
      <c r="U462" s="283">
        <f t="shared" si="205"/>
        <v>212319.5</v>
      </c>
      <c r="V462" s="132">
        <f t="shared" si="206"/>
        <v>0</v>
      </c>
    </row>
    <row r="463" spans="1:22" s="80" customFormat="1" ht="78.75" x14ac:dyDescent="0.25">
      <c r="A463" s="78" t="s">
        <v>1125</v>
      </c>
      <c r="B463" s="79" t="s">
        <v>76</v>
      </c>
      <c r="C463" s="79" t="s">
        <v>25</v>
      </c>
      <c r="D463" s="79" t="s">
        <v>44</v>
      </c>
      <c r="E463" s="79" t="s">
        <v>973</v>
      </c>
      <c r="F463" s="79" t="s">
        <v>9</v>
      </c>
      <c r="G463" s="316">
        <f>G464</f>
        <v>0</v>
      </c>
      <c r="H463" s="316">
        <f t="shared" ref="H463:T463" si="227">H464</f>
        <v>0</v>
      </c>
      <c r="I463" s="316">
        <f t="shared" si="227"/>
        <v>0</v>
      </c>
      <c r="J463" s="316">
        <f t="shared" si="227"/>
        <v>0</v>
      </c>
      <c r="K463" s="316">
        <f t="shared" si="227"/>
        <v>2144.7399999999998</v>
      </c>
      <c r="L463" s="316">
        <f t="shared" si="227"/>
        <v>0</v>
      </c>
      <c r="M463" s="316">
        <f t="shared" si="227"/>
        <v>0</v>
      </c>
      <c r="N463" s="316">
        <f t="shared" si="227"/>
        <v>0</v>
      </c>
      <c r="O463" s="316">
        <f t="shared" si="227"/>
        <v>-7.1999999999999995E-2</v>
      </c>
      <c r="P463" s="316">
        <f t="shared" si="227"/>
        <v>0</v>
      </c>
      <c r="Q463" s="316">
        <f t="shared" si="227"/>
        <v>0</v>
      </c>
      <c r="R463" s="316">
        <f t="shared" si="227"/>
        <v>0</v>
      </c>
      <c r="S463" s="316">
        <f t="shared" si="227"/>
        <v>0</v>
      </c>
      <c r="T463" s="316">
        <f t="shared" si="227"/>
        <v>0</v>
      </c>
      <c r="U463" s="132">
        <f t="shared" si="205"/>
        <v>2144.6679999999997</v>
      </c>
      <c r="V463" s="132">
        <f t="shared" si="206"/>
        <v>0</v>
      </c>
    </row>
    <row r="464" spans="1:22" s="77" customFormat="1" ht="31.5" x14ac:dyDescent="0.25">
      <c r="A464" s="74" t="s">
        <v>124</v>
      </c>
      <c r="B464" s="75" t="s">
        <v>76</v>
      </c>
      <c r="C464" s="75" t="s">
        <v>25</v>
      </c>
      <c r="D464" s="75" t="s">
        <v>44</v>
      </c>
      <c r="E464" s="75" t="s">
        <v>973</v>
      </c>
      <c r="F464" s="75" t="s">
        <v>117</v>
      </c>
      <c r="G464" s="311"/>
      <c r="H464" s="311"/>
      <c r="I464" s="320"/>
      <c r="J464" s="320"/>
      <c r="K464" s="407">
        <v>2144.7399999999998</v>
      </c>
      <c r="L464" s="407"/>
      <c r="M464" s="321"/>
      <c r="N464" s="321"/>
      <c r="O464" s="310">
        <v>-7.1999999999999995E-2</v>
      </c>
      <c r="P464" s="310"/>
      <c r="Q464" s="321"/>
      <c r="R464" s="321"/>
      <c r="S464" s="310"/>
      <c r="T464" s="310"/>
      <c r="U464" s="283">
        <f>G464+K464+M464+O464+Q464+S464+H464</f>
        <v>2144.6679999999997</v>
      </c>
      <c r="V464" s="132">
        <f t="shared" si="206"/>
        <v>0</v>
      </c>
    </row>
    <row r="465" spans="1:22" s="80" customFormat="1" ht="15.75" customHeight="1" x14ac:dyDescent="0.25">
      <c r="A465" s="195" t="s">
        <v>967</v>
      </c>
      <c r="B465" s="79" t="s">
        <v>76</v>
      </c>
      <c r="C465" s="79" t="s">
        <v>25</v>
      </c>
      <c r="D465" s="79" t="s">
        <v>44</v>
      </c>
      <c r="E465" s="79" t="s">
        <v>968</v>
      </c>
      <c r="F465" s="79" t="s">
        <v>9</v>
      </c>
      <c r="G465" s="316">
        <f t="shared" ref="G465:T465" si="228">G466+G469</f>
        <v>0</v>
      </c>
      <c r="H465" s="316">
        <f>H466+H469</f>
        <v>0</v>
      </c>
      <c r="I465" s="338">
        <f t="shared" si="228"/>
        <v>0</v>
      </c>
      <c r="J465" s="338">
        <f>J466+J469</f>
        <v>0</v>
      </c>
      <c r="K465" s="408">
        <f t="shared" si="228"/>
        <v>0</v>
      </c>
      <c r="L465" s="408">
        <f t="shared" si="228"/>
        <v>0</v>
      </c>
      <c r="M465" s="322">
        <f t="shared" si="228"/>
        <v>0</v>
      </c>
      <c r="N465" s="322">
        <f t="shared" si="228"/>
        <v>0</v>
      </c>
      <c r="O465" s="312">
        <f t="shared" si="228"/>
        <v>0</v>
      </c>
      <c r="P465" s="312">
        <f t="shared" si="228"/>
        <v>0</v>
      </c>
      <c r="Q465" s="322">
        <f t="shared" si="228"/>
        <v>0</v>
      </c>
      <c r="R465" s="322">
        <f t="shared" si="228"/>
        <v>0</v>
      </c>
      <c r="S465" s="312">
        <f t="shared" si="228"/>
        <v>0</v>
      </c>
      <c r="T465" s="312">
        <f t="shared" si="228"/>
        <v>0</v>
      </c>
      <c r="U465" s="132">
        <f t="shared" si="205"/>
        <v>0</v>
      </c>
      <c r="V465" s="132">
        <f t="shared" si="206"/>
        <v>0</v>
      </c>
    </row>
    <row r="466" spans="1:22" s="80" customFormat="1" ht="31.5" customHeight="1" x14ac:dyDescent="0.25">
      <c r="A466" s="78" t="s">
        <v>969</v>
      </c>
      <c r="B466" s="79" t="s">
        <v>76</v>
      </c>
      <c r="C466" s="79" t="s">
        <v>25</v>
      </c>
      <c r="D466" s="79" t="s">
        <v>44</v>
      </c>
      <c r="E466" s="79" t="s">
        <v>970</v>
      </c>
      <c r="F466" s="79" t="s">
        <v>9</v>
      </c>
      <c r="G466" s="316">
        <f t="shared" ref="G466:T466" si="229">G467</f>
        <v>0</v>
      </c>
      <c r="H466" s="316">
        <f t="shared" si="229"/>
        <v>0</v>
      </c>
      <c r="I466" s="338">
        <f t="shared" si="229"/>
        <v>0</v>
      </c>
      <c r="J466" s="338">
        <f t="shared" si="229"/>
        <v>0</v>
      </c>
      <c r="K466" s="408">
        <f t="shared" si="229"/>
        <v>0</v>
      </c>
      <c r="L466" s="408">
        <f t="shared" si="229"/>
        <v>0</v>
      </c>
      <c r="M466" s="322">
        <f t="shared" si="229"/>
        <v>0</v>
      </c>
      <c r="N466" s="322">
        <f t="shared" si="229"/>
        <v>0</v>
      </c>
      <c r="O466" s="312">
        <f t="shared" si="229"/>
        <v>0</v>
      </c>
      <c r="P466" s="312">
        <f t="shared" si="229"/>
        <v>0</v>
      </c>
      <c r="Q466" s="322">
        <f t="shared" si="229"/>
        <v>0</v>
      </c>
      <c r="R466" s="322">
        <f t="shared" si="229"/>
        <v>0</v>
      </c>
      <c r="S466" s="312">
        <f t="shared" si="229"/>
        <v>0</v>
      </c>
      <c r="T466" s="312">
        <f t="shared" si="229"/>
        <v>0</v>
      </c>
      <c r="U466" s="132">
        <f t="shared" si="205"/>
        <v>0</v>
      </c>
      <c r="V466" s="132">
        <f t="shared" si="206"/>
        <v>0</v>
      </c>
    </row>
    <row r="467" spans="1:22" s="80" customFormat="1" ht="31.5" customHeight="1" x14ac:dyDescent="0.25">
      <c r="A467" s="264" t="s">
        <v>124</v>
      </c>
      <c r="B467" s="75" t="s">
        <v>76</v>
      </c>
      <c r="C467" s="75" t="s">
        <v>25</v>
      </c>
      <c r="D467" s="75" t="s">
        <v>44</v>
      </c>
      <c r="E467" s="75" t="s">
        <v>970</v>
      </c>
      <c r="F467" s="75" t="s">
        <v>117</v>
      </c>
      <c r="G467" s="311"/>
      <c r="H467" s="311"/>
      <c r="I467" s="320"/>
      <c r="J467" s="320"/>
      <c r="K467" s="407"/>
      <c r="L467" s="407"/>
      <c r="M467" s="321"/>
      <c r="N467" s="321"/>
      <c r="O467" s="310"/>
      <c r="P467" s="310"/>
      <c r="Q467" s="321"/>
      <c r="R467" s="321"/>
      <c r="S467" s="310"/>
      <c r="T467" s="310"/>
      <c r="U467" s="131">
        <f t="shared" si="205"/>
        <v>0</v>
      </c>
      <c r="V467" s="131">
        <f t="shared" si="206"/>
        <v>0</v>
      </c>
    </row>
    <row r="468" spans="1:22" s="80" customFormat="1" ht="31.5" customHeight="1" outlineLevel="1" x14ac:dyDescent="0.25">
      <c r="A468" s="78" t="s">
        <v>971</v>
      </c>
      <c r="B468" s="79" t="s">
        <v>76</v>
      </c>
      <c r="C468" s="79" t="s">
        <v>25</v>
      </c>
      <c r="D468" s="79" t="s">
        <v>44</v>
      </c>
      <c r="E468" s="79" t="s">
        <v>972</v>
      </c>
      <c r="F468" s="79" t="s">
        <v>9</v>
      </c>
      <c r="G468" s="316">
        <f t="shared" ref="G468:T468" si="230">G469</f>
        <v>0</v>
      </c>
      <c r="H468" s="316">
        <f t="shared" si="230"/>
        <v>0</v>
      </c>
      <c r="I468" s="338">
        <f t="shared" si="230"/>
        <v>0</v>
      </c>
      <c r="J468" s="338">
        <f t="shared" si="230"/>
        <v>0</v>
      </c>
      <c r="K468" s="408">
        <f t="shared" si="230"/>
        <v>0</v>
      </c>
      <c r="L468" s="408">
        <f t="shared" si="230"/>
        <v>0</v>
      </c>
      <c r="M468" s="322">
        <f t="shared" si="230"/>
        <v>0</v>
      </c>
      <c r="N468" s="322">
        <f t="shared" si="230"/>
        <v>0</v>
      </c>
      <c r="O468" s="312">
        <f t="shared" si="230"/>
        <v>0</v>
      </c>
      <c r="P468" s="312">
        <f t="shared" si="230"/>
        <v>0</v>
      </c>
      <c r="Q468" s="322">
        <f t="shared" si="230"/>
        <v>0</v>
      </c>
      <c r="R468" s="322">
        <f t="shared" si="230"/>
        <v>0</v>
      </c>
      <c r="S468" s="312">
        <f t="shared" si="230"/>
        <v>0</v>
      </c>
      <c r="T468" s="312">
        <f t="shared" si="230"/>
        <v>0</v>
      </c>
      <c r="U468" s="132">
        <f t="shared" si="205"/>
        <v>0</v>
      </c>
      <c r="V468" s="132">
        <f t="shared" si="206"/>
        <v>0</v>
      </c>
    </row>
    <row r="469" spans="1:22" s="80" customFormat="1" ht="31.5" customHeight="1" outlineLevel="1" x14ac:dyDescent="0.25">
      <c r="A469" s="264" t="s">
        <v>124</v>
      </c>
      <c r="B469" s="75" t="s">
        <v>76</v>
      </c>
      <c r="C469" s="75" t="s">
        <v>25</v>
      </c>
      <c r="D469" s="75" t="s">
        <v>44</v>
      </c>
      <c r="E469" s="75" t="s">
        <v>972</v>
      </c>
      <c r="F469" s="75" t="s">
        <v>117</v>
      </c>
      <c r="G469" s="311"/>
      <c r="H469" s="311"/>
      <c r="I469" s="320"/>
      <c r="J469" s="320"/>
      <c r="K469" s="407"/>
      <c r="L469" s="407"/>
      <c r="M469" s="321"/>
      <c r="N469" s="321"/>
      <c r="O469" s="310"/>
      <c r="P469" s="310"/>
      <c r="Q469" s="321"/>
      <c r="R469" s="321"/>
      <c r="S469" s="310"/>
      <c r="T469" s="310"/>
      <c r="U469" s="131">
        <f t="shared" si="205"/>
        <v>0</v>
      </c>
      <c r="V469" s="131">
        <f t="shared" si="206"/>
        <v>0</v>
      </c>
    </row>
    <row r="470" spans="1:22" s="80" customFormat="1" ht="15.75" customHeight="1" x14ac:dyDescent="0.25">
      <c r="A470" s="195" t="s">
        <v>967</v>
      </c>
      <c r="B470" s="79" t="s">
        <v>76</v>
      </c>
      <c r="C470" s="79" t="s">
        <v>25</v>
      </c>
      <c r="D470" s="79" t="s">
        <v>44</v>
      </c>
      <c r="E470" s="79" t="s">
        <v>1079</v>
      </c>
      <c r="F470" s="79" t="s">
        <v>9</v>
      </c>
      <c r="G470" s="311">
        <f t="shared" ref="G470:T470" si="231">G471+G473</f>
        <v>0</v>
      </c>
      <c r="H470" s="311">
        <f>H471+H473</f>
        <v>0</v>
      </c>
      <c r="I470" s="320">
        <f t="shared" si="231"/>
        <v>0</v>
      </c>
      <c r="J470" s="320">
        <f>J471+J473</f>
        <v>0</v>
      </c>
      <c r="K470" s="407">
        <f t="shared" si="231"/>
        <v>0</v>
      </c>
      <c r="L470" s="407">
        <f t="shared" si="231"/>
        <v>0</v>
      </c>
      <c r="M470" s="321">
        <f t="shared" si="231"/>
        <v>0</v>
      </c>
      <c r="N470" s="321">
        <f t="shared" si="231"/>
        <v>0</v>
      </c>
      <c r="O470" s="310">
        <f t="shared" si="231"/>
        <v>0</v>
      </c>
      <c r="P470" s="310">
        <f t="shared" si="231"/>
        <v>0</v>
      </c>
      <c r="Q470" s="321">
        <f t="shared" si="231"/>
        <v>0</v>
      </c>
      <c r="R470" s="321">
        <f t="shared" si="231"/>
        <v>0</v>
      </c>
      <c r="S470" s="310">
        <f t="shared" si="231"/>
        <v>0</v>
      </c>
      <c r="T470" s="310">
        <f t="shared" si="231"/>
        <v>0</v>
      </c>
      <c r="U470" s="132">
        <f t="shared" si="205"/>
        <v>0</v>
      </c>
      <c r="V470" s="132">
        <f t="shared" si="206"/>
        <v>0</v>
      </c>
    </row>
    <row r="471" spans="1:22" s="80" customFormat="1" ht="31.5" customHeight="1" x14ac:dyDescent="0.25">
      <c r="A471" s="78" t="s">
        <v>969</v>
      </c>
      <c r="B471" s="79" t="s">
        <v>76</v>
      </c>
      <c r="C471" s="79" t="s">
        <v>25</v>
      </c>
      <c r="D471" s="79" t="s">
        <v>44</v>
      </c>
      <c r="E471" s="79" t="s">
        <v>1080</v>
      </c>
      <c r="F471" s="79" t="s">
        <v>9</v>
      </c>
      <c r="G471" s="311">
        <f t="shared" ref="G471:T471" si="232">G472</f>
        <v>0</v>
      </c>
      <c r="H471" s="311">
        <f t="shared" si="232"/>
        <v>0</v>
      </c>
      <c r="I471" s="320">
        <f t="shared" si="232"/>
        <v>0</v>
      </c>
      <c r="J471" s="320">
        <f t="shared" si="232"/>
        <v>0</v>
      </c>
      <c r="K471" s="407">
        <f t="shared" si="232"/>
        <v>0</v>
      </c>
      <c r="L471" s="407">
        <f t="shared" si="232"/>
        <v>0</v>
      </c>
      <c r="M471" s="321">
        <f t="shared" si="232"/>
        <v>0</v>
      </c>
      <c r="N471" s="321">
        <f t="shared" si="232"/>
        <v>0</v>
      </c>
      <c r="O471" s="310">
        <f t="shared" si="232"/>
        <v>0</v>
      </c>
      <c r="P471" s="310">
        <f t="shared" si="232"/>
        <v>0</v>
      </c>
      <c r="Q471" s="321">
        <f t="shared" si="232"/>
        <v>0</v>
      </c>
      <c r="R471" s="321">
        <f t="shared" si="232"/>
        <v>0</v>
      </c>
      <c r="S471" s="310">
        <f t="shared" si="232"/>
        <v>0</v>
      </c>
      <c r="T471" s="310">
        <f t="shared" si="232"/>
        <v>0</v>
      </c>
      <c r="U471" s="132">
        <f t="shared" si="205"/>
        <v>0</v>
      </c>
      <c r="V471" s="132">
        <f t="shared" si="206"/>
        <v>0</v>
      </c>
    </row>
    <row r="472" spans="1:22" s="80" customFormat="1" ht="31.5" customHeight="1" x14ac:dyDescent="0.25">
      <c r="A472" s="264" t="s">
        <v>124</v>
      </c>
      <c r="B472" s="75" t="s">
        <v>76</v>
      </c>
      <c r="C472" s="75" t="s">
        <v>25</v>
      </c>
      <c r="D472" s="75" t="s">
        <v>44</v>
      </c>
      <c r="E472" s="75" t="s">
        <v>1080</v>
      </c>
      <c r="F472" s="75" t="s">
        <v>117</v>
      </c>
      <c r="G472" s="311"/>
      <c r="H472" s="311"/>
      <c r="I472" s="320"/>
      <c r="J472" s="320"/>
      <c r="K472" s="407"/>
      <c r="L472" s="407"/>
      <c r="M472" s="321"/>
      <c r="N472" s="330"/>
      <c r="O472" s="310"/>
      <c r="P472" s="310"/>
      <c r="Q472" s="321"/>
      <c r="R472" s="321"/>
      <c r="S472" s="310"/>
      <c r="T472" s="310"/>
      <c r="U472" s="131">
        <f t="shared" si="205"/>
        <v>0</v>
      </c>
      <c r="V472" s="131">
        <f t="shared" si="206"/>
        <v>0</v>
      </c>
    </row>
    <row r="473" spans="1:22" s="80" customFormat="1" ht="31.5" customHeight="1" x14ac:dyDescent="0.25">
      <c r="A473" s="78" t="s">
        <v>1081</v>
      </c>
      <c r="B473" s="79" t="s">
        <v>76</v>
      </c>
      <c r="C473" s="79" t="s">
        <v>25</v>
      </c>
      <c r="D473" s="79" t="s">
        <v>44</v>
      </c>
      <c r="E473" s="79" t="s">
        <v>1082</v>
      </c>
      <c r="F473" s="79" t="s">
        <v>9</v>
      </c>
      <c r="G473" s="311">
        <f t="shared" ref="G473:T473" si="233">G474</f>
        <v>0</v>
      </c>
      <c r="H473" s="311">
        <f t="shared" si="233"/>
        <v>0</v>
      </c>
      <c r="I473" s="320">
        <f t="shared" si="233"/>
        <v>0</v>
      </c>
      <c r="J473" s="320">
        <f t="shared" si="233"/>
        <v>0</v>
      </c>
      <c r="K473" s="407">
        <f t="shared" si="233"/>
        <v>0</v>
      </c>
      <c r="L473" s="407">
        <f t="shared" si="233"/>
        <v>0</v>
      </c>
      <c r="M473" s="321">
        <f t="shared" si="233"/>
        <v>0</v>
      </c>
      <c r="N473" s="321">
        <f t="shared" si="233"/>
        <v>0</v>
      </c>
      <c r="O473" s="310">
        <f t="shared" si="233"/>
        <v>0</v>
      </c>
      <c r="P473" s="310">
        <f t="shared" si="233"/>
        <v>0</v>
      </c>
      <c r="Q473" s="321">
        <f t="shared" si="233"/>
        <v>0</v>
      </c>
      <c r="R473" s="321">
        <f t="shared" si="233"/>
        <v>0</v>
      </c>
      <c r="S473" s="310">
        <f t="shared" si="233"/>
        <v>0</v>
      </c>
      <c r="T473" s="310">
        <f t="shared" si="233"/>
        <v>0</v>
      </c>
      <c r="U473" s="132">
        <f t="shared" si="205"/>
        <v>0</v>
      </c>
      <c r="V473" s="132">
        <f t="shared" si="206"/>
        <v>0</v>
      </c>
    </row>
    <row r="474" spans="1:22" s="80" customFormat="1" ht="31.5" customHeight="1" x14ac:dyDescent="0.25">
      <c r="A474" s="264" t="s">
        <v>124</v>
      </c>
      <c r="B474" s="75" t="s">
        <v>76</v>
      </c>
      <c r="C474" s="75" t="s">
        <v>25</v>
      </c>
      <c r="D474" s="75" t="s">
        <v>44</v>
      </c>
      <c r="E474" s="75" t="s">
        <v>1082</v>
      </c>
      <c r="F474" s="75" t="s">
        <v>117</v>
      </c>
      <c r="G474" s="311"/>
      <c r="H474" s="311"/>
      <c r="I474" s="320"/>
      <c r="J474" s="320"/>
      <c r="K474" s="407"/>
      <c r="L474" s="407"/>
      <c r="M474" s="321"/>
      <c r="N474" s="330"/>
      <c r="O474" s="310"/>
      <c r="P474" s="310"/>
      <c r="Q474" s="321"/>
      <c r="R474" s="321"/>
      <c r="S474" s="310"/>
      <c r="T474" s="310"/>
      <c r="U474" s="131">
        <f t="shared" si="205"/>
        <v>0</v>
      </c>
      <c r="V474" s="131">
        <f t="shared" si="206"/>
        <v>0</v>
      </c>
    </row>
    <row r="475" spans="1:22" s="80" customFormat="1" ht="15.75" customHeight="1" x14ac:dyDescent="0.25">
      <c r="A475" s="195" t="s">
        <v>967</v>
      </c>
      <c r="B475" s="79" t="s">
        <v>76</v>
      </c>
      <c r="C475" s="79" t="s">
        <v>25</v>
      </c>
      <c r="D475" s="79" t="s">
        <v>44</v>
      </c>
      <c r="E475" s="79" t="s">
        <v>973</v>
      </c>
      <c r="F475" s="79" t="s">
        <v>9</v>
      </c>
      <c r="G475" s="316">
        <f t="shared" ref="G475:T475" si="234">G476+G478</f>
        <v>0</v>
      </c>
      <c r="H475" s="316">
        <f>H476+H478</f>
        <v>0</v>
      </c>
      <c r="I475" s="338">
        <f t="shared" si="234"/>
        <v>0</v>
      </c>
      <c r="J475" s="338">
        <f>J476+J478</f>
        <v>0</v>
      </c>
      <c r="K475" s="408">
        <f t="shared" si="234"/>
        <v>0</v>
      </c>
      <c r="L475" s="408">
        <f t="shared" si="234"/>
        <v>0</v>
      </c>
      <c r="M475" s="322">
        <f t="shared" si="234"/>
        <v>0</v>
      </c>
      <c r="N475" s="322">
        <f t="shared" si="234"/>
        <v>0</v>
      </c>
      <c r="O475" s="312">
        <f t="shared" si="234"/>
        <v>0</v>
      </c>
      <c r="P475" s="312">
        <f t="shared" si="234"/>
        <v>0</v>
      </c>
      <c r="Q475" s="322">
        <f t="shared" si="234"/>
        <v>0</v>
      </c>
      <c r="R475" s="322">
        <f t="shared" si="234"/>
        <v>0</v>
      </c>
      <c r="S475" s="312">
        <f t="shared" si="234"/>
        <v>0</v>
      </c>
      <c r="T475" s="312">
        <f t="shared" si="234"/>
        <v>0</v>
      </c>
      <c r="U475" s="132">
        <f t="shared" si="205"/>
        <v>0</v>
      </c>
      <c r="V475" s="132">
        <f t="shared" si="206"/>
        <v>0</v>
      </c>
    </row>
    <row r="476" spans="1:22" s="80" customFormat="1" ht="31.5" customHeight="1" x14ac:dyDescent="0.25">
      <c r="A476" s="78" t="s">
        <v>969</v>
      </c>
      <c r="B476" s="79" t="s">
        <v>76</v>
      </c>
      <c r="C476" s="79" t="s">
        <v>25</v>
      </c>
      <c r="D476" s="79" t="s">
        <v>44</v>
      </c>
      <c r="E476" s="79" t="s">
        <v>974</v>
      </c>
      <c r="F476" s="79" t="s">
        <v>9</v>
      </c>
      <c r="G476" s="316">
        <f t="shared" ref="G476:T476" si="235">G477</f>
        <v>0</v>
      </c>
      <c r="H476" s="316">
        <f t="shared" si="235"/>
        <v>0</v>
      </c>
      <c r="I476" s="338">
        <f t="shared" si="235"/>
        <v>0</v>
      </c>
      <c r="J476" s="338">
        <f t="shared" si="235"/>
        <v>0</v>
      </c>
      <c r="K476" s="408">
        <f t="shared" si="235"/>
        <v>0</v>
      </c>
      <c r="L476" s="408">
        <f t="shared" si="235"/>
        <v>0</v>
      </c>
      <c r="M476" s="322">
        <f t="shared" si="235"/>
        <v>0</v>
      </c>
      <c r="N476" s="322">
        <f t="shared" si="235"/>
        <v>0</v>
      </c>
      <c r="O476" s="312">
        <f t="shared" si="235"/>
        <v>0</v>
      </c>
      <c r="P476" s="312">
        <f t="shared" si="235"/>
        <v>0</v>
      </c>
      <c r="Q476" s="322">
        <f t="shared" si="235"/>
        <v>0</v>
      </c>
      <c r="R476" s="322">
        <f t="shared" si="235"/>
        <v>0</v>
      </c>
      <c r="S476" s="312">
        <f t="shared" si="235"/>
        <v>0</v>
      </c>
      <c r="T476" s="312">
        <f t="shared" si="235"/>
        <v>0</v>
      </c>
      <c r="U476" s="132">
        <f t="shared" si="205"/>
        <v>0</v>
      </c>
      <c r="V476" s="132">
        <f t="shared" si="206"/>
        <v>0</v>
      </c>
    </row>
    <row r="477" spans="1:22" s="80" customFormat="1" ht="31.5" customHeight="1" x14ac:dyDescent="0.25">
      <c r="A477" s="264" t="s">
        <v>124</v>
      </c>
      <c r="B477" s="75" t="s">
        <v>76</v>
      </c>
      <c r="C477" s="75" t="s">
        <v>25</v>
      </c>
      <c r="D477" s="75" t="s">
        <v>44</v>
      </c>
      <c r="E477" s="75" t="s">
        <v>974</v>
      </c>
      <c r="F477" s="75" t="s">
        <v>117</v>
      </c>
      <c r="G477" s="311"/>
      <c r="H477" s="311"/>
      <c r="I477" s="320"/>
      <c r="J477" s="320"/>
      <c r="K477" s="407"/>
      <c r="L477" s="407"/>
      <c r="M477" s="321"/>
      <c r="N477" s="321"/>
      <c r="O477" s="310"/>
      <c r="P477" s="310"/>
      <c r="Q477" s="321"/>
      <c r="R477" s="321"/>
      <c r="S477" s="310"/>
      <c r="T477" s="310"/>
      <c r="U477" s="131">
        <f t="shared" si="205"/>
        <v>0</v>
      </c>
      <c r="V477" s="131">
        <f t="shared" si="206"/>
        <v>0</v>
      </c>
    </row>
    <row r="478" spans="1:22" s="80" customFormat="1" ht="31.5" customHeight="1" outlineLevel="1" x14ac:dyDescent="0.25">
      <c r="A478" s="78" t="s">
        <v>971</v>
      </c>
      <c r="B478" s="79" t="s">
        <v>76</v>
      </c>
      <c r="C478" s="79" t="s">
        <v>25</v>
      </c>
      <c r="D478" s="79" t="s">
        <v>44</v>
      </c>
      <c r="E478" s="79" t="s">
        <v>975</v>
      </c>
      <c r="F478" s="79" t="s">
        <v>9</v>
      </c>
      <c r="G478" s="316">
        <f t="shared" ref="G478:T478" si="236">G479</f>
        <v>0</v>
      </c>
      <c r="H478" s="316">
        <f t="shared" si="236"/>
        <v>0</v>
      </c>
      <c r="I478" s="338">
        <f t="shared" si="236"/>
        <v>0</v>
      </c>
      <c r="J478" s="338">
        <f t="shared" si="236"/>
        <v>0</v>
      </c>
      <c r="K478" s="408">
        <f t="shared" si="236"/>
        <v>0</v>
      </c>
      <c r="L478" s="408">
        <f t="shared" si="236"/>
        <v>0</v>
      </c>
      <c r="M478" s="322">
        <f t="shared" si="236"/>
        <v>0</v>
      </c>
      <c r="N478" s="322">
        <f t="shared" si="236"/>
        <v>0</v>
      </c>
      <c r="O478" s="312">
        <f t="shared" si="236"/>
        <v>0</v>
      </c>
      <c r="P478" s="312">
        <f t="shared" si="236"/>
        <v>0</v>
      </c>
      <c r="Q478" s="322">
        <f t="shared" si="236"/>
        <v>0</v>
      </c>
      <c r="R478" s="322">
        <f t="shared" si="236"/>
        <v>0</v>
      </c>
      <c r="S478" s="312">
        <f t="shared" si="236"/>
        <v>0</v>
      </c>
      <c r="T478" s="312">
        <f t="shared" si="236"/>
        <v>0</v>
      </c>
      <c r="U478" s="132">
        <f t="shared" si="205"/>
        <v>0</v>
      </c>
      <c r="V478" s="132">
        <f t="shared" si="206"/>
        <v>0</v>
      </c>
    </row>
    <row r="479" spans="1:22" s="80" customFormat="1" ht="31.5" customHeight="1" outlineLevel="1" x14ac:dyDescent="0.25">
      <c r="A479" s="264" t="s">
        <v>124</v>
      </c>
      <c r="B479" s="75" t="s">
        <v>76</v>
      </c>
      <c r="C479" s="75" t="s">
        <v>25</v>
      </c>
      <c r="D479" s="75" t="s">
        <v>44</v>
      </c>
      <c r="E479" s="75" t="s">
        <v>975</v>
      </c>
      <c r="F479" s="75" t="s">
        <v>117</v>
      </c>
      <c r="G479" s="311"/>
      <c r="H479" s="311"/>
      <c r="I479" s="320"/>
      <c r="J479" s="320"/>
      <c r="K479" s="407"/>
      <c r="L479" s="407"/>
      <c r="M479" s="321"/>
      <c r="N479" s="321"/>
      <c r="O479" s="310"/>
      <c r="P479" s="310"/>
      <c r="Q479" s="321"/>
      <c r="R479" s="321"/>
      <c r="S479" s="310"/>
      <c r="T479" s="310"/>
      <c r="U479" s="131">
        <f t="shared" si="205"/>
        <v>0</v>
      </c>
      <c r="V479" s="131">
        <f t="shared" si="206"/>
        <v>0</v>
      </c>
    </row>
    <row r="480" spans="1:22" s="77" customFormat="1" ht="31.5" x14ac:dyDescent="0.25">
      <c r="A480" s="78" t="s">
        <v>784</v>
      </c>
      <c r="B480" s="79" t="s">
        <v>76</v>
      </c>
      <c r="C480" s="79" t="s">
        <v>25</v>
      </c>
      <c r="D480" s="79" t="s">
        <v>44</v>
      </c>
      <c r="E480" s="79" t="s">
        <v>380</v>
      </c>
      <c r="F480" s="79" t="s">
        <v>9</v>
      </c>
      <c r="G480" s="316">
        <f t="shared" ref="G480:T480" si="237">G481</f>
        <v>235380.2</v>
      </c>
      <c r="H480" s="316">
        <f t="shared" si="237"/>
        <v>575.1</v>
      </c>
      <c r="I480" s="338">
        <f t="shared" si="237"/>
        <v>19959</v>
      </c>
      <c r="J480" s="338">
        <f t="shared" si="237"/>
        <v>2976.6</v>
      </c>
      <c r="K480" s="408">
        <f t="shared" si="237"/>
        <v>-214464.24000000002</v>
      </c>
      <c r="L480" s="408">
        <f t="shared" si="237"/>
        <v>0</v>
      </c>
      <c r="M480" s="322">
        <f t="shared" si="237"/>
        <v>0</v>
      </c>
      <c r="N480" s="322">
        <f t="shared" si="237"/>
        <v>0</v>
      </c>
      <c r="O480" s="312">
        <f t="shared" si="237"/>
        <v>7.1999999999999995E-2</v>
      </c>
      <c r="P480" s="312">
        <f t="shared" si="237"/>
        <v>0</v>
      </c>
      <c r="Q480" s="322">
        <f t="shared" si="237"/>
        <v>0</v>
      </c>
      <c r="R480" s="322">
        <f t="shared" si="237"/>
        <v>0</v>
      </c>
      <c r="S480" s="312">
        <f t="shared" si="237"/>
        <v>0</v>
      </c>
      <c r="T480" s="312">
        <f t="shared" si="237"/>
        <v>0</v>
      </c>
      <c r="U480" s="132">
        <f t="shared" si="205"/>
        <v>21491.131999999991</v>
      </c>
      <c r="V480" s="132">
        <f t="shared" si="206"/>
        <v>22935.599999999999</v>
      </c>
    </row>
    <row r="481" spans="1:28" s="80" customFormat="1" ht="31.5" x14ac:dyDescent="0.25">
      <c r="A481" s="78" t="s">
        <v>52</v>
      </c>
      <c r="B481" s="79" t="s">
        <v>76</v>
      </c>
      <c r="C481" s="79" t="s">
        <v>25</v>
      </c>
      <c r="D481" s="79" t="s">
        <v>44</v>
      </c>
      <c r="E481" s="79" t="s">
        <v>394</v>
      </c>
      <c r="F481" s="79" t="s">
        <v>9</v>
      </c>
      <c r="G481" s="316">
        <f t="shared" ref="G481:T481" si="238">G482+G489+G499+G491+G496+G494</f>
        <v>235380.2</v>
      </c>
      <c r="H481" s="316">
        <f>H482+H489+H499+H491+H496+H494</f>
        <v>575.1</v>
      </c>
      <c r="I481" s="338">
        <f t="shared" si="238"/>
        <v>19959</v>
      </c>
      <c r="J481" s="338">
        <f>J482+J489+J499+J491+J496+J494</f>
        <v>2976.6</v>
      </c>
      <c r="K481" s="408">
        <f t="shared" si="238"/>
        <v>-214464.24000000002</v>
      </c>
      <c r="L481" s="408">
        <f t="shared" si="238"/>
        <v>0</v>
      </c>
      <c r="M481" s="322">
        <f t="shared" si="238"/>
        <v>0</v>
      </c>
      <c r="N481" s="322">
        <f t="shared" si="238"/>
        <v>0</v>
      </c>
      <c r="O481" s="312">
        <f t="shared" si="238"/>
        <v>7.1999999999999995E-2</v>
      </c>
      <c r="P481" s="312">
        <f t="shared" si="238"/>
        <v>0</v>
      </c>
      <c r="Q481" s="322">
        <f t="shared" si="238"/>
        <v>0</v>
      </c>
      <c r="R481" s="322">
        <f t="shared" si="238"/>
        <v>0</v>
      </c>
      <c r="S481" s="312">
        <f t="shared" si="238"/>
        <v>0</v>
      </c>
      <c r="T481" s="312">
        <f t="shared" si="238"/>
        <v>0</v>
      </c>
      <c r="U481" s="132">
        <f t="shared" si="205"/>
        <v>21491.131999999991</v>
      </c>
      <c r="V481" s="132">
        <f t="shared" si="206"/>
        <v>22935.599999999999</v>
      </c>
    </row>
    <row r="482" spans="1:28" s="77" customFormat="1" ht="47.25" x14ac:dyDescent="0.25">
      <c r="A482" s="78" t="s">
        <v>41</v>
      </c>
      <c r="B482" s="79" t="s">
        <v>76</v>
      </c>
      <c r="C482" s="79" t="s">
        <v>25</v>
      </c>
      <c r="D482" s="79" t="s">
        <v>44</v>
      </c>
      <c r="E482" s="79" t="s">
        <v>438</v>
      </c>
      <c r="F482" s="79" t="s">
        <v>9</v>
      </c>
      <c r="G482" s="316">
        <f>G483+G487+G485</f>
        <v>232189.5</v>
      </c>
      <c r="H482" s="316">
        <f>H483+H487+H485</f>
        <v>0</v>
      </c>
      <c r="I482" s="338">
        <f t="shared" ref="I482:T482" si="239">I483+I487+I486</f>
        <v>18961</v>
      </c>
      <c r="J482" s="338">
        <f>J483+J487+J486</f>
        <v>0</v>
      </c>
      <c r="K482" s="408">
        <f>K483+K487+K486</f>
        <v>-212319.5</v>
      </c>
      <c r="L482" s="408">
        <f t="shared" si="239"/>
        <v>0</v>
      </c>
      <c r="M482" s="322">
        <f t="shared" si="239"/>
        <v>0</v>
      </c>
      <c r="N482" s="322">
        <f t="shared" si="239"/>
        <v>0</v>
      </c>
      <c r="O482" s="312">
        <f t="shared" si="239"/>
        <v>0</v>
      </c>
      <c r="P482" s="312">
        <f t="shared" si="239"/>
        <v>0</v>
      </c>
      <c r="Q482" s="322">
        <f t="shared" si="239"/>
        <v>0</v>
      </c>
      <c r="R482" s="322">
        <f t="shared" si="239"/>
        <v>0</v>
      </c>
      <c r="S482" s="312">
        <f t="shared" si="239"/>
        <v>0</v>
      </c>
      <c r="T482" s="312">
        <f t="shared" si="239"/>
        <v>0</v>
      </c>
      <c r="U482" s="132">
        <f t="shared" si="205"/>
        <v>19870</v>
      </c>
      <c r="V482" s="132">
        <f t="shared" si="206"/>
        <v>18961</v>
      </c>
    </row>
    <row r="483" spans="1:28" s="77" customFormat="1" ht="31.5" x14ac:dyDescent="0.25">
      <c r="A483" s="78" t="s">
        <v>212</v>
      </c>
      <c r="B483" s="79" t="s">
        <v>76</v>
      </c>
      <c r="C483" s="79" t="s">
        <v>25</v>
      </c>
      <c r="D483" s="79" t="s">
        <v>44</v>
      </c>
      <c r="E483" s="79" t="s">
        <v>439</v>
      </c>
      <c r="F483" s="79" t="s">
        <v>9</v>
      </c>
      <c r="G483" s="316">
        <f t="shared" ref="G483:T483" si="240">G484</f>
        <v>19870</v>
      </c>
      <c r="H483" s="316">
        <f t="shared" si="240"/>
        <v>0</v>
      </c>
      <c r="I483" s="338">
        <f t="shared" si="240"/>
        <v>18961</v>
      </c>
      <c r="J483" s="338">
        <f t="shared" si="240"/>
        <v>0</v>
      </c>
      <c r="K483" s="408">
        <f t="shared" si="240"/>
        <v>0</v>
      </c>
      <c r="L483" s="408">
        <f t="shared" si="240"/>
        <v>0</v>
      </c>
      <c r="M483" s="322">
        <f t="shared" si="240"/>
        <v>0</v>
      </c>
      <c r="N483" s="322">
        <f t="shared" si="240"/>
        <v>0</v>
      </c>
      <c r="O483" s="312">
        <f t="shared" si="240"/>
        <v>0</v>
      </c>
      <c r="P483" s="312">
        <f t="shared" si="240"/>
        <v>0</v>
      </c>
      <c r="Q483" s="322">
        <f t="shared" si="240"/>
        <v>0</v>
      </c>
      <c r="R483" s="322">
        <f t="shared" si="240"/>
        <v>0</v>
      </c>
      <c r="S483" s="312">
        <f t="shared" si="240"/>
        <v>0</v>
      </c>
      <c r="T483" s="312">
        <f t="shared" si="240"/>
        <v>0</v>
      </c>
      <c r="U483" s="132">
        <f t="shared" si="205"/>
        <v>19870</v>
      </c>
      <c r="V483" s="132">
        <f t="shared" si="206"/>
        <v>18961</v>
      </c>
    </row>
    <row r="484" spans="1:28" s="80" customFormat="1" ht="31.5" x14ac:dyDescent="0.25">
      <c r="A484" s="264" t="s">
        <v>124</v>
      </c>
      <c r="B484" s="265" t="s">
        <v>76</v>
      </c>
      <c r="C484" s="265" t="s">
        <v>25</v>
      </c>
      <c r="D484" s="265" t="s">
        <v>44</v>
      </c>
      <c r="E484" s="265" t="s">
        <v>439</v>
      </c>
      <c r="F484" s="265" t="s">
        <v>117</v>
      </c>
      <c r="G484" s="311">
        <v>19870</v>
      </c>
      <c r="H484" s="311"/>
      <c r="I484" s="320">
        <v>18961</v>
      </c>
      <c r="J484" s="320"/>
      <c r="K484" s="409"/>
      <c r="L484" s="409"/>
      <c r="M484" s="323"/>
      <c r="N484" s="323"/>
      <c r="O484" s="313"/>
      <c r="P484" s="313"/>
      <c r="Q484" s="323"/>
      <c r="R484" s="323"/>
      <c r="S484" s="313"/>
      <c r="T484" s="313"/>
      <c r="U484" s="131">
        <f t="shared" si="205"/>
        <v>19870</v>
      </c>
      <c r="V484" s="131">
        <f t="shared" si="206"/>
        <v>18961</v>
      </c>
    </row>
    <row r="485" spans="1:28" s="80" customFormat="1" ht="91.5" customHeight="1" outlineLevel="1" x14ac:dyDescent="0.25">
      <c r="A485" s="267" t="s">
        <v>1125</v>
      </c>
      <c r="B485" s="79" t="s">
        <v>76</v>
      </c>
      <c r="C485" s="79" t="s">
        <v>25</v>
      </c>
      <c r="D485" s="79" t="s">
        <v>44</v>
      </c>
      <c r="E485" s="79" t="s">
        <v>1008</v>
      </c>
      <c r="F485" s="79" t="s">
        <v>9</v>
      </c>
      <c r="G485" s="316">
        <f t="shared" ref="G485:T485" si="241">G486</f>
        <v>212319.5</v>
      </c>
      <c r="H485" s="316">
        <f t="shared" si="241"/>
        <v>0</v>
      </c>
      <c r="I485" s="338">
        <f t="shared" si="241"/>
        <v>0</v>
      </c>
      <c r="J485" s="338">
        <f t="shared" si="241"/>
        <v>0</v>
      </c>
      <c r="K485" s="408">
        <f t="shared" si="241"/>
        <v>-212319.5</v>
      </c>
      <c r="L485" s="408">
        <f t="shared" si="241"/>
        <v>0</v>
      </c>
      <c r="M485" s="322">
        <f t="shared" si="241"/>
        <v>0</v>
      </c>
      <c r="N485" s="322">
        <f t="shared" si="241"/>
        <v>0</v>
      </c>
      <c r="O485" s="312">
        <f t="shared" si="241"/>
        <v>0</v>
      </c>
      <c r="P485" s="312">
        <f t="shared" si="241"/>
        <v>0</v>
      </c>
      <c r="Q485" s="322">
        <f t="shared" si="241"/>
        <v>0</v>
      </c>
      <c r="R485" s="322">
        <f t="shared" si="241"/>
        <v>0</v>
      </c>
      <c r="S485" s="312">
        <f t="shared" si="241"/>
        <v>0</v>
      </c>
      <c r="T485" s="312">
        <f t="shared" si="241"/>
        <v>0</v>
      </c>
      <c r="U485" s="132">
        <f t="shared" si="205"/>
        <v>0</v>
      </c>
      <c r="V485" s="132">
        <f t="shared" si="206"/>
        <v>0</v>
      </c>
    </row>
    <row r="486" spans="1:28" s="80" customFormat="1" ht="31.5" customHeight="1" outlineLevel="1" x14ac:dyDescent="0.25">
      <c r="A486" s="264" t="s">
        <v>124</v>
      </c>
      <c r="B486" s="75" t="s">
        <v>76</v>
      </c>
      <c r="C486" s="75" t="s">
        <v>25</v>
      </c>
      <c r="D486" s="75" t="s">
        <v>44</v>
      </c>
      <c r="E486" s="75" t="s">
        <v>1008</v>
      </c>
      <c r="F486" s="75" t="s">
        <v>117</v>
      </c>
      <c r="G486" s="311">
        <v>212319.5</v>
      </c>
      <c r="H486" s="311"/>
      <c r="I486" s="320">
        <v>0</v>
      </c>
      <c r="J486" s="320"/>
      <c r="K486" s="409">
        <v>-212319.5</v>
      </c>
      <c r="L486" s="409"/>
      <c r="M486" s="323"/>
      <c r="N486" s="323"/>
      <c r="O486" s="313"/>
      <c r="P486" s="313"/>
      <c r="Q486" s="323"/>
      <c r="R486" s="323"/>
      <c r="S486" s="313"/>
      <c r="T486" s="313"/>
      <c r="U486" s="396">
        <f t="shared" si="205"/>
        <v>0</v>
      </c>
      <c r="V486" s="396">
        <f t="shared" si="206"/>
        <v>0</v>
      </c>
    </row>
    <row r="487" spans="1:28" s="80" customFormat="1" ht="31.5" customHeight="1" outlineLevel="1" x14ac:dyDescent="0.25">
      <c r="A487" s="78" t="s">
        <v>1086</v>
      </c>
      <c r="B487" s="79" t="s">
        <v>76</v>
      </c>
      <c r="C487" s="79" t="s">
        <v>25</v>
      </c>
      <c r="D487" s="79" t="s">
        <v>44</v>
      </c>
      <c r="E487" s="79" t="s">
        <v>715</v>
      </c>
      <c r="F487" s="79" t="s">
        <v>9</v>
      </c>
      <c r="G487" s="316">
        <f t="shared" ref="G487:T487" si="242">G488</f>
        <v>0</v>
      </c>
      <c r="H487" s="316">
        <f t="shared" si="242"/>
        <v>0</v>
      </c>
      <c r="I487" s="338">
        <f t="shared" si="242"/>
        <v>0</v>
      </c>
      <c r="J487" s="338">
        <f t="shared" si="242"/>
        <v>0</v>
      </c>
      <c r="K487" s="408">
        <f t="shared" si="242"/>
        <v>0</v>
      </c>
      <c r="L487" s="408">
        <f t="shared" si="242"/>
        <v>0</v>
      </c>
      <c r="M487" s="322">
        <f t="shared" si="242"/>
        <v>0</v>
      </c>
      <c r="N487" s="322">
        <f t="shared" si="242"/>
        <v>0</v>
      </c>
      <c r="O487" s="312">
        <f t="shared" si="242"/>
        <v>0</v>
      </c>
      <c r="P487" s="312">
        <f t="shared" si="242"/>
        <v>0</v>
      </c>
      <c r="Q487" s="322">
        <f t="shared" si="242"/>
        <v>0</v>
      </c>
      <c r="R487" s="322">
        <f t="shared" si="242"/>
        <v>0</v>
      </c>
      <c r="S487" s="312">
        <f t="shared" si="242"/>
        <v>0</v>
      </c>
      <c r="T487" s="312">
        <f t="shared" si="242"/>
        <v>0</v>
      </c>
      <c r="U487" s="413">
        <f t="shared" si="205"/>
        <v>0</v>
      </c>
      <c r="V487" s="413">
        <f t="shared" si="206"/>
        <v>0</v>
      </c>
    </row>
    <row r="488" spans="1:28" s="80" customFormat="1" ht="15.75" customHeight="1" outlineLevel="1" x14ac:dyDescent="0.25">
      <c r="A488" s="74" t="s">
        <v>123</v>
      </c>
      <c r="B488" s="75" t="s">
        <v>76</v>
      </c>
      <c r="C488" s="75" t="s">
        <v>25</v>
      </c>
      <c r="D488" s="75" t="s">
        <v>44</v>
      </c>
      <c r="E488" s="75" t="s">
        <v>715</v>
      </c>
      <c r="F488" s="75" t="s">
        <v>119</v>
      </c>
      <c r="G488" s="311"/>
      <c r="H488" s="311"/>
      <c r="I488" s="320"/>
      <c r="J488" s="320"/>
      <c r="K488" s="409"/>
      <c r="L488" s="409"/>
      <c r="M488" s="323"/>
      <c r="N488" s="323"/>
      <c r="O488" s="313"/>
      <c r="P488" s="313"/>
      <c r="Q488" s="323"/>
      <c r="R488" s="323"/>
      <c r="S488" s="313"/>
      <c r="T488" s="313"/>
      <c r="U488" s="396">
        <f t="shared" si="205"/>
        <v>0</v>
      </c>
      <c r="V488" s="396">
        <f t="shared" si="206"/>
        <v>0</v>
      </c>
    </row>
    <row r="489" spans="1:28" s="80" customFormat="1" ht="31.5" x14ac:dyDescent="0.25">
      <c r="A489" s="78" t="s">
        <v>212</v>
      </c>
      <c r="B489" s="79" t="s">
        <v>76</v>
      </c>
      <c r="C489" s="79" t="s">
        <v>25</v>
      </c>
      <c r="D489" s="79" t="s">
        <v>44</v>
      </c>
      <c r="E489" s="79" t="s">
        <v>468</v>
      </c>
      <c r="F489" s="79" t="s">
        <v>9</v>
      </c>
      <c r="G489" s="316">
        <f t="shared" ref="G489:T489" si="243">G490</f>
        <v>1046</v>
      </c>
      <c r="H489" s="316">
        <f t="shared" si="243"/>
        <v>0</v>
      </c>
      <c r="I489" s="338">
        <f t="shared" si="243"/>
        <v>998</v>
      </c>
      <c r="J489" s="338">
        <f t="shared" si="243"/>
        <v>0</v>
      </c>
      <c r="K489" s="408">
        <f t="shared" si="243"/>
        <v>0</v>
      </c>
      <c r="L489" s="408">
        <f t="shared" si="243"/>
        <v>0</v>
      </c>
      <c r="M489" s="322">
        <f t="shared" si="243"/>
        <v>0</v>
      </c>
      <c r="N489" s="322">
        <f t="shared" si="243"/>
        <v>0</v>
      </c>
      <c r="O489" s="312">
        <f t="shared" si="243"/>
        <v>0</v>
      </c>
      <c r="P489" s="312">
        <f t="shared" si="243"/>
        <v>0</v>
      </c>
      <c r="Q489" s="322">
        <f t="shared" si="243"/>
        <v>0</v>
      </c>
      <c r="R489" s="322">
        <f t="shared" si="243"/>
        <v>0</v>
      </c>
      <c r="S489" s="312">
        <f t="shared" si="243"/>
        <v>0</v>
      </c>
      <c r="T489" s="312">
        <f t="shared" si="243"/>
        <v>0</v>
      </c>
      <c r="U489" s="132">
        <f t="shared" si="205"/>
        <v>1046</v>
      </c>
      <c r="V489" s="132">
        <f t="shared" si="206"/>
        <v>998</v>
      </c>
    </row>
    <row r="490" spans="1:28" s="77" customFormat="1" ht="31.5" x14ac:dyDescent="0.25">
      <c r="A490" s="264" t="s">
        <v>124</v>
      </c>
      <c r="B490" s="265" t="s">
        <v>76</v>
      </c>
      <c r="C490" s="265" t="s">
        <v>25</v>
      </c>
      <c r="D490" s="265" t="s">
        <v>44</v>
      </c>
      <c r="E490" s="265" t="s">
        <v>468</v>
      </c>
      <c r="F490" s="265" t="s">
        <v>117</v>
      </c>
      <c r="G490" s="311">
        <v>1046</v>
      </c>
      <c r="H490" s="311"/>
      <c r="I490" s="320">
        <v>998</v>
      </c>
      <c r="J490" s="320"/>
      <c r="K490" s="409"/>
      <c r="L490" s="407"/>
      <c r="M490" s="323"/>
      <c r="N490" s="323"/>
      <c r="O490" s="313"/>
      <c r="P490" s="313"/>
      <c r="Q490" s="323"/>
      <c r="R490" s="323"/>
      <c r="S490" s="313"/>
      <c r="T490" s="313"/>
      <c r="U490" s="131">
        <f t="shared" si="205"/>
        <v>1046</v>
      </c>
      <c r="V490" s="131">
        <f t="shared" si="206"/>
        <v>998</v>
      </c>
    </row>
    <row r="491" spans="1:28" s="77" customFormat="1" ht="31.5" x14ac:dyDescent="0.25">
      <c r="A491" s="78" t="s">
        <v>212</v>
      </c>
      <c r="B491" s="79" t="s">
        <v>76</v>
      </c>
      <c r="C491" s="79" t="s">
        <v>25</v>
      </c>
      <c r="D491" s="79" t="s">
        <v>44</v>
      </c>
      <c r="E491" s="79" t="s">
        <v>976</v>
      </c>
      <c r="F491" s="79" t="s">
        <v>9</v>
      </c>
      <c r="G491" s="316">
        <f t="shared" ref="G491:T491" si="244">G492+G493</f>
        <v>0</v>
      </c>
      <c r="H491" s="316">
        <f t="shared" si="244"/>
        <v>575.1</v>
      </c>
      <c r="I491" s="338">
        <f t="shared" si="244"/>
        <v>0</v>
      </c>
      <c r="J491" s="338">
        <f t="shared" si="244"/>
        <v>2976.6</v>
      </c>
      <c r="K491" s="408">
        <f t="shared" si="244"/>
        <v>-0.04</v>
      </c>
      <c r="L491" s="408">
        <f t="shared" si="244"/>
        <v>0</v>
      </c>
      <c r="M491" s="322">
        <f t="shared" si="244"/>
        <v>0</v>
      </c>
      <c r="N491" s="322">
        <f t="shared" si="244"/>
        <v>0</v>
      </c>
      <c r="O491" s="312">
        <f t="shared" si="244"/>
        <v>7.1999999999999995E-2</v>
      </c>
      <c r="P491" s="312">
        <f t="shared" si="244"/>
        <v>0</v>
      </c>
      <c r="Q491" s="322">
        <f t="shared" si="244"/>
        <v>0</v>
      </c>
      <c r="R491" s="322">
        <f t="shared" si="244"/>
        <v>0</v>
      </c>
      <c r="S491" s="312">
        <f t="shared" si="244"/>
        <v>0</v>
      </c>
      <c r="T491" s="312">
        <f t="shared" si="244"/>
        <v>0</v>
      </c>
      <c r="U491" s="132">
        <f t="shared" si="205"/>
        <v>575.13200000000006</v>
      </c>
      <c r="V491" s="132">
        <f t="shared" si="206"/>
        <v>2976.6</v>
      </c>
      <c r="AB491" s="77" t="s">
        <v>1176</v>
      </c>
    </row>
    <row r="492" spans="1:28" s="77" customFormat="1" ht="31.5" customHeight="1" x14ac:dyDescent="0.25">
      <c r="A492" s="264" t="s">
        <v>124</v>
      </c>
      <c r="B492" s="265" t="s">
        <v>76</v>
      </c>
      <c r="C492" s="265" t="s">
        <v>25</v>
      </c>
      <c r="D492" s="265" t="s">
        <v>44</v>
      </c>
      <c r="E492" s="265" t="s">
        <v>976</v>
      </c>
      <c r="F492" s="265" t="s">
        <v>117</v>
      </c>
      <c r="G492" s="311"/>
      <c r="H492" s="311">
        <v>458.5</v>
      </c>
      <c r="I492" s="320"/>
      <c r="J492" s="320">
        <v>2853.5</v>
      </c>
      <c r="K492" s="409">
        <v>-0.04</v>
      </c>
      <c r="L492" s="407"/>
      <c r="M492" s="323"/>
      <c r="N492" s="323"/>
      <c r="O492" s="313">
        <v>7.1999999999999995E-2</v>
      </c>
      <c r="P492" s="313"/>
      <c r="Q492" s="323"/>
      <c r="R492" s="323"/>
      <c r="S492" s="313"/>
      <c r="T492" s="313"/>
      <c r="U492" s="131">
        <f t="shared" ref="U492:U562" si="245">G492+K492+M492+O492+Q492+S492+H492</f>
        <v>458.53199999999998</v>
      </c>
      <c r="V492" s="131">
        <f t="shared" ref="V492:V562" si="246">I492+L492+N492+P492+R492+T492+J492</f>
        <v>2853.5</v>
      </c>
    </row>
    <row r="493" spans="1:28" s="77" customFormat="1" x14ac:dyDescent="0.25">
      <c r="A493" s="264" t="s">
        <v>123</v>
      </c>
      <c r="B493" s="265" t="s">
        <v>76</v>
      </c>
      <c r="C493" s="265" t="s">
        <v>25</v>
      </c>
      <c r="D493" s="265" t="s">
        <v>44</v>
      </c>
      <c r="E493" s="265" t="s">
        <v>976</v>
      </c>
      <c r="F493" s="265" t="s">
        <v>119</v>
      </c>
      <c r="G493" s="311"/>
      <c r="H493" s="311">
        <v>116.6</v>
      </c>
      <c r="I493" s="320"/>
      <c r="J493" s="320">
        <v>123.1</v>
      </c>
      <c r="K493" s="409"/>
      <c r="L493" s="407"/>
      <c r="M493" s="323"/>
      <c r="N493" s="323"/>
      <c r="O493" s="313"/>
      <c r="P493" s="313"/>
      <c r="Q493" s="323"/>
      <c r="R493" s="323"/>
      <c r="S493" s="313"/>
      <c r="T493" s="313"/>
      <c r="U493" s="131">
        <f t="shared" si="245"/>
        <v>116.6</v>
      </c>
      <c r="V493" s="131">
        <f t="shared" si="246"/>
        <v>123.1</v>
      </c>
    </row>
    <row r="494" spans="1:28" s="80" customFormat="1" ht="78.75" customHeight="1" outlineLevel="1" x14ac:dyDescent="0.25">
      <c r="A494" s="267" t="s">
        <v>1125</v>
      </c>
      <c r="B494" s="79" t="s">
        <v>76</v>
      </c>
      <c r="C494" s="79" t="s">
        <v>25</v>
      </c>
      <c r="D494" s="79" t="s">
        <v>44</v>
      </c>
      <c r="E494" s="79" t="s">
        <v>1009</v>
      </c>
      <c r="F494" s="79" t="s">
        <v>9</v>
      </c>
      <c r="G494" s="316">
        <f t="shared" ref="G494:T494" si="247">G495</f>
        <v>2144.6999999999998</v>
      </c>
      <c r="H494" s="316">
        <f t="shared" si="247"/>
        <v>0</v>
      </c>
      <c r="I494" s="338">
        <f t="shared" si="247"/>
        <v>0</v>
      </c>
      <c r="J494" s="338">
        <f t="shared" si="247"/>
        <v>0</v>
      </c>
      <c r="K494" s="408">
        <f t="shared" si="247"/>
        <v>-2144.6999999999998</v>
      </c>
      <c r="L494" s="408">
        <f t="shared" si="247"/>
        <v>0</v>
      </c>
      <c r="M494" s="322">
        <f t="shared" si="247"/>
        <v>0</v>
      </c>
      <c r="N494" s="322">
        <f t="shared" si="247"/>
        <v>0</v>
      </c>
      <c r="O494" s="312">
        <f t="shared" si="247"/>
        <v>0</v>
      </c>
      <c r="P494" s="312">
        <f t="shared" si="247"/>
        <v>0</v>
      </c>
      <c r="Q494" s="322">
        <f t="shared" si="247"/>
        <v>0</v>
      </c>
      <c r="R494" s="322">
        <f t="shared" si="247"/>
        <v>0</v>
      </c>
      <c r="S494" s="312">
        <f t="shared" si="247"/>
        <v>0</v>
      </c>
      <c r="T494" s="312">
        <f t="shared" si="247"/>
        <v>0</v>
      </c>
      <c r="U494" s="132">
        <f t="shared" si="245"/>
        <v>0</v>
      </c>
      <c r="V494" s="132">
        <f t="shared" si="246"/>
        <v>0</v>
      </c>
    </row>
    <row r="495" spans="1:28" s="77" customFormat="1" ht="31.5" customHeight="1" outlineLevel="1" x14ac:dyDescent="0.25">
      <c r="A495" s="264" t="s">
        <v>124</v>
      </c>
      <c r="B495" s="75" t="s">
        <v>76</v>
      </c>
      <c r="C495" s="75" t="s">
        <v>25</v>
      </c>
      <c r="D495" s="75" t="s">
        <v>44</v>
      </c>
      <c r="E495" s="75" t="s">
        <v>1009</v>
      </c>
      <c r="F495" s="75" t="s">
        <v>117</v>
      </c>
      <c r="G495" s="311">
        <v>2144.6999999999998</v>
      </c>
      <c r="H495" s="311"/>
      <c r="I495" s="320">
        <v>0</v>
      </c>
      <c r="J495" s="320"/>
      <c r="K495" s="409">
        <f>0.04-2144.74</f>
        <v>-2144.6999999999998</v>
      </c>
      <c r="L495" s="407"/>
      <c r="M495" s="323"/>
      <c r="N495" s="323"/>
      <c r="O495" s="313"/>
      <c r="P495" s="313"/>
      <c r="Q495" s="323"/>
      <c r="R495" s="323"/>
      <c r="S495" s="313"/>
      <c r="T495" s="313"/>
      <c r="U495" s="131">
        <f t="shared" si="245"/>
        <v>0</v>
      </c>
      <c r="V495" s="131">
        <f t="shared" si="246"/>
        <v>0</v>
      </c>
    </row>
    <row r="496" spans="1:28" s="80" customFormat="1" ht="15.75" customHeight="1" outlineLevel="1" x14ac:dyDescent="0.25">
      <c r="A496" s="267" t="s">
        <v>39</v>
      </c>
      <c r="B496" s="79">
        <v>936</v>
      </c>
      <c r="C496" s="79" t="s">
        <v>25</v>
      </c>
      <c r="D496" s="79" t="s">
        <v>44</v>
      </c>
      <c r="E496" s="79" t="s">
        <v>977</v>
      </c>
      <c r="F496" s="79" t="s">
        <v>9</v>
      </c>
      <c r="G496" s="316">
        <f t="shared" ref="G496:T497" si="248">G497</f>
        <v>0</v>
      </c>
      <c r="H496" s="316">
        <f t="shared" si="248"/>
        <v>0</v>
      </c>
      <c r="I496" s="338">
        <f t="shared" si="248"/>
        <v>0</v>
      </c>
      <c r="J496" s="338">
        <f t="shared" si="248"/>
        <v>0</v>
      </c>
      <c r="K496" s="408">
        <f t="shared" si="248"/>
        <v>0</v>
      </c>
      <c r="L496" s="408">
        <f t="shared" si="248"/>
        <v>0</v>
      </c>
      <c r="M496" s="322">
        <f t="shared" si="248"/>
        <v>0</v>
      </c>
      <c r="N496" s="322">
        <f t="shared" si="248"/>
        <v>0</v>
      </c>
      <c r="O496" s="312">
        <f t="shared" si="248"/>
        <v>0</v>
      </c>
      <c r="P496" s="312">
        <f t="shared" si="248"/>
        <v>0</v>
      </c>
      <c r="Q496" s="322">
        <f t="shared" si="248"/>
        <v>0</v>
      </c>
      <c r="R496" s="322">
        <f t="shared" si="248"/>
        <v>0</v>
      </c>
      <c r="S496" s="312">
        <f t="shared" si="248"/>
        <v>0</v>
      </c>
      <c r="T496" s="312">
        <f t="shared" si="248"/>
        <v>0</v>
      </c>
      <c r="U496" s="132">
        <f t="shared" si="245"/>
        <v>0</v>
      </c>
      <c r="V496" s="132">
        <f t="shared" si="246"/>
        <v>0</v>
      </c>
    </row>
    <row r="497" spans="1:40" s="80" customFormat="1" ht="15.75" customHeight="1" outlineLevel="1" x14ac:dyDescent="0.25">
      <c r="A497" s="267" t="s">
        <v>978</v>
      </c>
      <c r="B497" s="79" t="s">
        <v>76</v>
      </c>
      <c r="C497" s="79" t="s">
        <v>25</v>
      </c>
      <c r="D497" s="79" t="s">
        <v>44</v>
      </c>
      <c r="E497" s="79" t="s">
        <v>979</v>
      </c>
      <c r="F497" s="79" t="s">
        <v>9</v>
      </c>
      <c r="G497" s="316">
        <f t="shared" si="248"/>
        <v>0</v>
      </c>
      <c r="H497" s="316">
        <f t="shared" si="248"/>
        <v>0</v>
      </c>
      <c r="I497" s="338">
        <f t="shared" si="248"/>
        <v>0</v>
      </c>
      <c r="J497" s="338">
        <f t="shared" si="248"/>
        <v>0</v>
      </c>
      <c r="K497" s="408">
        <f t="shared" si="248"/>
        <v>0</v>
      </c>
      <c r="L497" s="408">
        <f t="shared" si="248"/>
        <v>0</v>
      </c>
      <c r="M497" s="322">
        <f t="shared" si="248"/>
        <v>0</v>
      </c>
      <c r="N497" s="322">
        <f t="shared" si="248"/>
        <v>0</v>
      </c>
      <c r="O497" s="312">
        <f t="shared" si="248"/>
        <v>0</v>
      </c>
      <c r="P497" s="312">
        <f t="shared" si="248"/>
        <v>0</v>
      </c>
      <c r="Q497" s="322">
        <f t="shared" si="248"/>
        <v>0</v>
      </c>
      <c r="R497" s="322">
        <f t="shared" si="248"/>
        <v>0</v>
      </c>
      <c r="S497" s="312">
        <f t="shared" si="248"/>
        <v>0</v>
      </c>
      <c r="T497" s="312">
        <f t="shared" si="248"/>
        <v>0</v>
      </c>
      <c r="U497" s="132">
        <f t="shared" si="245"/>
        <v>0</v>
      </c>
      <c r="V497" s="132">
        <f t="shared" si="246"/>
        <v>0</v>
      </c>
    </row>
    <row r="498" spans="1:40" s="77" customFormat="1" ht="31.5" customHeight="1" outlineLevel="1" x14ac:dyDescent="0.25">
      <c r="A498" s="264" t="s">
        <v>124</v>
      </c>
      <c r="B498" s="75" t="s">
        <v>76</v>
      </c>
      <c r="C498" s="75" t="s">
        <v>25</v>
      </c>
      <c r="D498" s="75" t="s">
        <v>44</v>
      </c>
      <c r="E498" s="75" t="s">
        <v>979</v>
      </c>
      <c r="F498" s="75" t="s">
        <v>117</v>
      </c>
      <c r="G498" s="311"/>
      <c r="H498" s="311"/>
      <c r="I498" s="320"/>
      <c r="J498" s="320"/>
      <c r="K498" s="409"/>
      <c r="L498" s="407"/>
      <c r="M498" s="323"/>
      <c r="N498" s="323"/>
      <c r="O498" s="313"/>
      <c r="P498" s="313"/>
      <c r="Q498" s="323"/>
      <c r="R498" s="323"/>
      <c r="S498" s="313"/>
      <c r="T498" s="313"/>
      <c r="U498" s="131">
        <f t="shared" si="245"/>
        <v>0</v>
      </c>
      <c r="V498" s="131">
        <f t="shared" si="246"/>
        <v>0</v>
      </c>
    </row>
    <row r="499" spans="1:40" s="80" customFormat="1" ht="31.5" customHeight="1" outlineLevel="1" x14ac:dyDescent="0.25">
      <c r="A499" s="78" t="s">
        <v>86</v>
      </c>
      <c r="B499" s="79" t="s">
        <v>76</v>
      </c>
      <c r="C499" s="79" t="s">
        <v>25</v>
      </c>
      <c r="D499" s="79" t="s">
        <v>44</v>
      </c>
      <c r="E499" s="79" t="s">
        <v>440</v>
      </c>
      <c r="F499" s="79" t="s">
        <v>9</v>
      </c>
      <c r="G499" s="316">
        <f t="shared" ref="G499:T499" si="249">G500+G501</f>
        <v>0</v>
      </c>
      <c r="H499" s="316">
        <f t="shared" si="249"/>
        <v>0</v>
      </c>
      <c r="I499" s="338">
        <f t="shared" si="249"/>
        <v>0</v>
      </c>
      <c r="J499" s="338">
        <f t="shared" si="249"/>
        <v>0</v>
      </c>
      <c r="K499" s="408">
        <f t="shared" si="249"/>
        <v>0</v>
      </c>
      <c r="L499" s="408">
        <f t="shared" si="249"/>
        <v>0</v>
      </c>
      <c r="M499" s="322">
        <f t="shared" si="249"/>
        <v>0</v>
      </c>
      <c r="N499" s="322">
        <f t="shared" si="249"/>
        <v>0</v>
      </c>
      <c r="O499" s="312">
        <f t="shared" si="249"/>
        <v>0</v>
      </c>
      <c r="P499" s="312">
        <f t="shared" si="249"/>
        <v>0</v>
      </c>
      <c r="Q499" s="322">
        <f t="shared" si="249"/>
        <v>0</v>
      </c>
      <c r="R499" s="322">
        <f t="shared" si="249"/>
        <v>0</v>
      </c>
      <c r="S499" s="312">
        <f t="shared" si="249"/>
        <v>0</v>
      </c>
      <c r="T499" s="312">
        <f t="shared" si="249"/>
        <v>0</v>
      </c>
      <c r="U499" s="132">
        <f t="shared" si="245"/>
        <v>0</v>
      </c>
      <c r="V499" s="132">
        <f t="shared" si="246"/>
        <v>0</v>
      </c>
    </row>
    <row r="500" spans="1:40" s="80" customFormat="1" ht="31.5" customHeight="1" outlineLevel="1" x14ac:dyDescent="0.25">
      <c r="A500" s="74" t="s">
        <v>124</v>
      </c>
      <c r="B500" s="75" t="s">
        <v>76</v>
      </c>
      <c r="C500" s="75" t="s">
        <v>25</v>
      </c>
      <c r="D500" s="75" t="s">
        <v>44</v>
      </c>
      <c r="E500" s="75" t="s">
        <v>440</v>
      </c>
      <c r="F500" s="75" t="s">
        <v>117</v>
      </c>
      <c r="G500" s="311"/>
      <c r="H500" s="311"/>
      <c r="I500" s="320"/>
      <c r="J500" s="320"/>
      <c r="K500" s="409"/>
      <c r="L500" s="407"/>
      <c r="M500" s="323"/>
      <c r="N500" s="323"/>
      <c r="O500" s="313"/>
      <c r="P500" s="313"/>
      <c r="Q500" s="323"/>
      <c r="R500" s="323"/>
      <c r="S500" s="313"/>
      <c r="T500" s="313"/>
      <c r="U500" s="131">
        <f t="shared" si="245"/>
        <v>0</v>
      </c>
      <c r="V500" s="131">
        <f t="shared" si="246"/>
        <v>0</v>
      </c>
    </row>
    <row r="501" spans="1:40" s="77" customFormat="1" ht="15.75" customHeight="1" outlineLevel="1" x14ac:dyDescent="0.25">
      <c r="A501" s="264" t="s">
        <v>123</v>
      </c>
      <c r="B501" s="265" t="s">
        <v>76</v>
      </c>
      <c r="C501" s="265" t="s">
        <v>25</v>
      </c>
      <c r="D501" s="265" t="s">
        <v>44</v>
      </c>
      <c r="E501" s="265" t="s">
        <v>440</v>
      </c>
      <c r="F501" s="265" t="s">
        <v>119</v>
      </c>
      <c r="G501" s="311"/>
      <c r="H501" s="311"/>
      <c r="I501" s="320"/>
      <c r="J501" s="320"/>
      <c r="K501" s="409"/>
      <c r="L501" s="409"/>
      <c r="M501" s="323"/>
      <c r="N501" s="323"/>
      <c r="O501" s="313"/>
      <c r="P501" s="313"/>
      <c r="Q501" s="323"/>
      <c r="R501" s="323"/>
      <c r="S501" s="313"/>
      <c r="T501" s="313"/>
      <c r="U501" s="131">
        <f t="shared" si="245"/>
        <v>0</v>
      </c>
      <c r="V501" s="131">
        <f t="shared" si="246"/>
        <v>0</v>
      </c>
    </row>
    <row r="502" spans="1:40" s="80" customFormat="1" ht="15.75" customHeight="1" outlineLevel="1" x14ac:dyDescent="0.25">
      <c r="A502" s="78" t="s">
        <v>73</v>
      </c>
      <c r="B502" s="79" t="s">
        <v>76</v>
      </c>
      <c r="C502" s="79" t="s">
        <v>25</v>
      </c>
      <c r="D502" s="79" t="s">
        <v>74</v>
      </c>
      <c r="E502" s="79" t="s">
        <v>365</v>
      </c>
      <c r="F502" s="79" t="s">
        <v>9</v>
      </c>
      <c r="G502" s="316">
        <f>G506+G513+G503</f>
        <v>0</v>
      </c>
      <c r="H502" s="316">
        <f t="shared" ref="H502:T502" si="250">H506+H513+H503</f>
        <v>59.9</v>
      </c>
      <c r="I502" s="316">
        <f t="shared" si="250"/>
        <v>0</v>
      </c>
      <c r="J502" s="316">
        <f t="shared" si="250"/>
        <v>59.9</v>
      </c>
      <c r="K502" s="408">
        <f t="shared" si="250"/>
        <v>0</v>
      </c>
      <c r="L502" s="408">
        <f t="shared" si="250"/>
        <v>0</v>
      </c>
      <c r="M502" s="316">
        <f t="shared" si="250"/>
        <v>0</v>
      </c>
      <c r="N502" s="316">
        <f t="shared" si="250"/>
        <v>0</v>
      </c>
      <c r="O502" s="316">
        <f t="shared" si="250"/>
        <v>0</v>
      </c>
      <c r="P502" s="316">
        <f t="shared" si="250"/>
        <v>0</v>
      </c>
      <c r="Q502" s="316">
        <f t="shared" si="250"/>
        <v>0</v>
      </c>
      <c r="R502" s="316">
        <f t="shared" si="250"/>
        <v>0</v>
      </c>
      <c r="S502" s="316">
        <f t="shared" si="250"/>
        <v>0</v>
      </c>
      <c r="T502" s="316">
        <f t="shared" si="250"/>
        <v>0</v>
      </c>
      <c r="U502" s="132">
        <f t="shared" si="245"/>
        <v>59.9</v>
      </c>
      <c r="V502" s="132">
        <f t="shared" si="246"/>
        <v>59.9</v>
      </c>
    </row>
    <row r="503" spans="1:40" s="80" customFormat="1" ht="31.5" customHeight="1" outlineLevel="1" x14ac:dyDescent="0.25">
      <c r="A503" s="78" t="s">
        <v>786</v>
      </c>
      <c r="B503" s="79" t="s">
        <v>76</v>
      </c>
      <c r="C503" s="79" t="s">
        <v>25</v>
      </c>
      <c r="D503" s="79" t="s">
        <v>74</v>
      </c>
      <c r="E503" s="79" t="s">
        <v>405</v>
      </c>
      <c r="F503" s="79" t="s">
        <v>9</v>
      </c>
      <c r="G503" s="316">
        <f>G504</f>
        <v>0</v>
      </c>
      <c r="H503" s="316">
        <f t="shared" ref="H503:T503" si="251">H504</f>
        <v>59.9</v>
      </c>
      <c r="I503" s="316">
        <f t="shared" si="251"/>
        <v>0</v>
      </c>
      <c r="J503" s="316">
        <f t="shared" si="251"/>
        <v>59.9</v>
      </c>
      <c r="K503" s="408">
        <f t="shared" si="251"/>
        <v>0</v>
      </c>
      <c r="L503" s="408">
        <f t="shared" si="251"/>
        <v>0</v>
      </c>
      <c r="M503" s="316">
        <f t="shared" si="251"/>
        <v>0</v>
      </c>
      <c r="N503" s="316">
        <f t="shared" si="251"/>
        <v>0</v>
      </c>
      <c r="O503" s="316">
        <f t="shared" si="251"/>
        <v>0</v>
      </c>
      <c r="P503" s="316">
        <f t="shared" si="251"/>
        <v>0</v>
      </c>
      <c r="Q503" s="316">
        <f t="shared" si="251"/>
        <v>0</v>
      </c>
      <c r="R503" s="316">
        <f t="shared" si="251"/>
        <v>0</v>
      </c>
      <c r="S503" s="316">
        <f t="shared" si="251"/>
        <v>0</v>
      </c>
      <c r="T503" s="316">
        <f t="shared" si="251"/>
        <v>0</v>
      </c>
      <c r="U503" s="132">
        <f t="shared" si="245"/>
        <v>59.9</v>
      </c>
      <c r="V503" s="132">
        <f t="shared" si="246"/>
        <v>59.9</v>
      </c>
    </row>
    <row r="504" spans="1:40" s="80" customFormat="1" ht="31.5" customHeight="1" outlineLevel="1" x14ac:dyDescent="0.25">
      <c r="A504" s="78" t="s">
        <v>71</v>
      </c>
      <c r="B504" s="79" t="s">
        <v>76</v>
      </c>
      <c r="C504" s="79" t="s">
        <v>25</v>
      </c>
      <c r="D504" s="79" t="s">
        <v>74</v>
      </c>
      <c r="E504" s="79" t="s">
        <v>413</v>
      </c>
      <c r="F504" s="79" t="s">
        <v>9</v>
      </c>
      <c r="G504" s="316">
        <f t="shared" ref="G504:T504" si="252">G505</f>
        <v>0</v>
      </c>
      <c r="H504" s="316">
        <f t="shared" si="252"/>
        <v>59.9</v>
      </c>
      <c r="I504" s="338">
        <f t="shared" si="252"/>
        <v>0</v>
      </c>
      <c r="J504" s="338">
        <f t="shared" si="252"/>
        <v>59.9</v>
      </c>
      <c r="K504" s="408">
        <f t="shared" si="252"/>
        <v>0</v>
      </c>
      <c r="L504" s="408">
        <f t="shared" si="252"/>
        <v>0</v>
      </c>
      <c r="M504" s="322">
        <f t="shared" si="252"/>
        <v>0</v>
      </c>
      <c r="N504" s="322">
        <f t="shared" si="252"/>
        <v>0</v>
      </c>
      <c r="O504" s="312">
        <f t="shared" si="252"/>
        <v>0</v>
      </c>
      <c r="P504" s="312">
        <f t="shared" si="252"/>
        <v>0</v>
      </c>
      <c r="Q504" s="322">
        <f t="shared" si="252"/>
        <v>0</v>
      </c>
      <c r="R504" s="322">
        <f t="shared" si="252"/>
        <v>0</v>
      </c>
      <c r="S504" s="312">
        <f t="shared" si="252"/>
        <v>0</v>
      </c>
      <c r="T504" s="312">
        <f t="shared" si="252"/>
        <v>0</v>
      </c>
      <c r="U504" s="132">
        <f t="shared" si="245"/>
        <v>59.9</v>
      </c>
      <c r="V504" s="132">
        <f t="shared" si="246"/>
        <v>59.9</v>
      </c>
    </row>
    <row r="505" spans="1:40" s="77" customFormat="1" ht="31.5" customHeight="1" outlineLevel="1" x14ac:dyDescent="0.25">
      <c r="A505" s="74" t="s">
        <v>124</v>
      </c>
      <c r="B505" s="75" t="s">
        <v>76</v>
      </c>
      <c r="C505" s="75" t="s">
        <v>25</v>
      </c>
      <c r="D505" s="75" t="s">
        <v>74</v>
      </c>
      <c r="E505" s="75" t="s">
        <v>413</v>
      </c>
      <c r="F505" s="75" t="s">
        <v>117</v>
      </c>
      <c r="G505" s="311"/>
      <c r="H505" s="311">
        <v>59.9</v>
      </c>
      <c r="I505" s="320"/>
      <c r="J505" s="320">
        <v>59.9</v>
      </c>
      <c r="K505" s="409"/>
      <c r="L505" s="407"/>
      <c r="M505" s="323"/>
      <c r="N505" s="321"/>
      <c r="O505" s="313"/>
      <c r="P505" s="313"/>
      <c r="Q505" s="323"/>
      <c r="R505" s="323"/>
      <c r="S505" s="313"/>
      <c r="T505" s="313"/>
      <c r="U505" s="131">
        <f t="shared" si="245"/>
        <v>59.9</v>
      </c>
      <c r="V505" s="131">
        <f t="shared" si="246"/>
        <v>59.9</v>
      </c>
    </row>
    <row r="506" spans="1:40" s="80" customFormat="1" ht="31.5" customHeight="1" outlineLevel="1" x14ac:dyDescent="0.25">
      <c r="A506" s="78" t="s">
        <v>784</v>
      </c>
      <c r="B506" s="79" t="s">
        <v>76</v>
      </c>
      <c r="C506" s="79" t="s">
        <v>25</v>
      </c>
      <c r="D506" s="79" t="s">
        <v>74</v>
      </c>
      <c r="E506" s="79" t="s">
        <v>380</v>
      </c>
      <c r="F506" s="79" t="s">
        <v>9</v>
      </c>
      <c r="G506" s="316">
        <f t="shared" ref="G506:T506" si="253">G507+G510</f>
        <v>0</v>
      </c>
      <c r="H506" s="316">
        <f>H507+H510</f>
        <v>0</v>
      </c>
      <c r="I506" s="338">
        <f t="shared" si="253"/>
        <v>0</v>
      </c>
      <c r="J506" s="338">
        <f>J507+J510</f>
        <v>0</v>
      </c>
      <c r="K506" s="408">
        <f t="shared" si="253"/>
        <v>0</v>
      </c>
      <c r="L506" s="408">
        <f t="shared" si="253"/>
        <v>0</v>
      </c>
      <c r="M506" s="322">
        <f t="shared" si="253"/>
        <v>0</v>
      </c>
      <c r="N506" s="322">
        <f t="shared" si="253"/>
        <v>0</v>
      </c>
      <c r="O506" s="312">
        <f t="shared" si="253"/>
        <v>0</v>
      </c>
      <c r="P506" s="312">
        <f t="shared" si="253"/>
        <v>0</v>
      </c>
      <c r="Q506" s="322">
        <f t="shared" si="253"/>
        <v>0</v>
      </c>
      <c r="R506" s="322">
        <f t="shared" si="253"/>
        <v>0</v>
      </c>
      <c r="S506" s="312">
        <f t="shared" si="253"/>
        <v>0</v>
      </c>
      <c r="T506" s="312">
        <f t="shared" si="253"/>
        <v>0</v>
      </c>
      <c r="U506" s="132">
        <f t="shared" si="245"/>
        <v>0</v>
      </c>
      <c r="V506" s="132">
        <f t="shared" si="246"/>
        <v>0</v>
      </c>
    </row>
    <row r="507" spans="1:40" ht="15.75" customHeight="1" outlineLevel="1" x14ac:dyDescent="0.25">
      <c r="A507" s="78" t="s">
        <v>692</v>
      </c>
      <c r="B507" s="79" t="s">
        <v>76</v>
      </c>
      <c r="C507" s="79" t="s">
        <v>25</v>
      </c>
      <c r="D507" s="79" t="s">
        <v>74</v>
      </c>
      <c r="E507" s="79" t="s">
        <v>381</v>
      </c>
      <c r="F507" s="79" t="s">
        <v>9</v>
      </c>
      <c r="G507" s="316">
        <f t="shared" ref="G507:T508" si="254">G508</f>
        <v>0</v>
      </c>
      <c r="H507" s="316">
        <f t="shared" si="254"/>
        <v>0</v>
      </c>
      <c r="I507" s="338">
        <f t="shared" si="254"/>
        <v>0</v>
      </c>
      <c r="J507" s="338">
        <f t="shared" si="254"/>
        <v>0</v>
      </c>
      <c r="K507" s="408">
        <f t="shared" si="254"/>
        <v>0</v>
      </c>
      <c r="L507" s="408">
        <f t="shared" si="254"/>
        <v>0</v>
      </c>
      <c r="M507" s="322">
        <f t="shared" si="254"/>
        <v>0</v>
      </c>
      <c r="N507" s="322">
        <f t="shared" si="254"/>
        <v>0</v>
      </c>
      <c r="O507" s="312">
        <f t="shared" si="254"/>
        <v>0</v>
      </c>
      <c r="P507" s="312">
        <f t="shared" si="254"/>
        <v>0</v>
      </c>
      <c r="Q507" s="322">
        <f t="shared" si="254"/>
        <v>0</v>
      </c>
      <c r="R507" s="322">
        <f t="shared" si="254"/>
        <v>0</v>
      </c>
      <c r="S507" s="312">
        <f t="shared" si="254"/>
        <v>0</v>
      </c>
      <c r="T507" s="312">
        <f t="shared" si="254"/>
        <v>0</v>
      </c>
      <c r="U507" s="132">
        <f t="shared" si="245"/>
        <v>0</v>
      </c>
      <c r="V507" s="132">
        <f t="shared" si="246"/>
        <v>0</v>
      </c>
      <c r="W507" s="8"/>
      <c r="AN507" s="8"/>
    </row>
    <row r="508" spans="1:40" s="82" customFormat="1" ht="31.5" customHeight="1" outlineLevel="1" x14ac:dyDescent="0.25">
      <c r="A508" s="78" t="s">
        <v>87</v>
      </c>
      <c r="B508" s="79" t="s">
        <v>76</v>
      </c>
      <c r="C508" s="79" t="s">
        <v>25</v>
      </c>
      <c r="D508" s="79" t="s">
        <v>74</v>
      </c>
      <c r="E508" s="79" t="s">
        <v>441</v>
      </c>
      <c r="F508" s="79" t="s">
        <v>9</v>
      </c>
      <c r="G508" s="316">
        <f t="shared" si="254"/>
        <v>0</v>
      </c>
      <c r="H508" s="316">
        <f t="shared" si="254"/>
        <v>0</v>
      </c>
      <c r="I508" s="338">
        <f t="shared" si="254"/>
        <v>0</v>
      </c>
      <c r="J508" s="338">
        <f t="shared" si="254"/>
        <v>0</v>
      </c>
      <c r="K508" s="408">
        <f t="shared" si="254"/>
        <v>0</v>
      </c>
      <c r="L508" s="408">
        <f t="shared" si="254"/>
        <v>0</v>
      </c>
      <c r="M508" s="322">
        <f t="shared" si="254"/>
        <v>0</v>
      </c>
      <c r="N508" s="322">
        <f t="shared" si="254"/>
        <v>0</v>
      </c>
      <c r="O508" s="312">
        <f t="shared" si="254"/>
        <v>0</v>
      </c>
      <c r="P508" s="312">
        <f t="shared" si="254"/>
        <v>0</v>
      </c>
      <c r="Q508" s="322">
        <f t="shared" si="254"/>
        <v>0</v>
      </c>
      <c r="R508" s="322">
        <f t="shared" si="254"/>
        <v>0</v>
      </c>
      <c r="S508" s="312">
        <f t="shared" si="254"/>
        <v>0</v>
      </c>
      <c r="T508" s="312">
        <f t="shared" si="254"/>
        <v>0</v>
      </c>
      <c r="U508" s="132">
        <f t="shared" si="245"/>
        <v>0</v>
      </c>
      <c r="V508" s="132">
        <f t="shared" si="246"/>
        <v>0</v>
      </c>
    </row>
    <row r="509" spans="1:40" ht="31.5" customHeight="1" outlineLevel="1" x14ac:dyDescent="0.25">
      <c r="A509" s="74" t="s">
        <v>124</v>
      </c>
      <c r="B509" s="75" t="s">
        <v>76</v>
      </c>
      <c r="C509" s="75" t="s">
        <v>25</v>
      </c>
      <c r="D509" s="75" t="s">
        <v>74</v>
      </c>
      <c r="E509" s="75" t="s">
        <v>441</v>
      </c>
      <c r="F509" s="75" t="s">
        <v>117</v>
      </c>
      <c r="G509" s="311"/>
      <c r="H509" s="311"/>
      <c r="I509" s="320"/>
      <c r="J509" s="320"/>
      <c r="K509" s="409"/>
      <c r="L509" s="409"/>
      <c r="M509" s="323"/>
      <c r="N509" s="323"/>
      <c r="O509" s="313"/>
      <c r="P509" s="313"/>
      <c r="Q509" s="323"/>
      <c r="R509" s="323"/>
      <c r="S509" s="313"/>
      <c r="T509" s="313"/>
      <c r="U509" s="131">
        <f t="shared" si="245"/>
        <v>0</v>
      </c>
      <c r="V509" s="131">
        <f t="shared" si="246"/>
        <v>0</v>
      </c>
      <c r="W509" s="8"/>
      <c r="AN509" s="8"/>
    </row>
    <row r="510" spans="1:40" ht="31.5" customHeight="1" outlineLevel="1" x14ac:dyDescent="0.25">
      <c r="A510" s="78" t="s">
        <v>88</v>
      </c>
      <c r="B510" s="79" t="s">
        <v>76</v>
      </c>
      <c r="C510" s="79" t="s">
        <v>25</v>
      </c>
      <c r="D510" s="79" t="s">
        <v>74</v>
      </c>
      <c r="E510" s="79" t="s">
        <v>442</v>
      </c>
      <c r="F510" s="79" t="s">
        <v>9</v>
      </c>
      <c r="G510" s="316">
        <f t="shared" ref="G510:T511" si="255">G511</f>
        <v>0</v>
      </c>
      <c r="H510" s="316">
        <f t="shared" si="255"/>
        <v>0</v>
      </c>
      <c r="I510" s="338">
        <f t="shared" si="255"/>
        <v>0</v>
      </c>
      <c r="J510" s="338">
        <f t="shared" si="255"/>
        <v>0</v>
      </c>
      <c r="K510" s="408">
        <f t="shared" si="255"/>
        <v>0</v>
      </c>
      <c r="L510" s="408">
        <f t="shared" si="255"/>
        <v>0</v>
      </c>
      <c r="M510" s="322">
        <f t="shared" si="255"/>
        <v>0</v>
      </c>
      <c r="N510" s="322">
        <f t="shared" si="255"/>
        <v>0</v>
      </c>
      <c r="O510" s="312">
        <f t="shared" si="255"/>
        <v>0</v>
      </c>
      <c r="P510" s="312">
        <f t="shared" si="255"/>
        <v>0</v>
      </c>
      <c r="Q510" s="322">
        <f t="shared" si="255"/>
        <v>0</v>
      </c>
      <c r="R510" s="322">
        <f t="shared" si="255"/>
        <v>0</v>
      </c>
      <c r="S510" s="312">
        <f t="shared" si="255"/>
        <v>0</v>
      </c>
      <c r="T510" s="312">
        <f t="shared" si="255"/>
        <v>0</v>
      </c>
      <c r="U510" s="132">
        <f t="shared" si="245"/>
        <v>0</v>
      </c>
      <c r="V510" s="132">
        <f t="shared" si="246"/>
        <v>0</v>
      </c>
      <c r="W510" s="8"/>
      <c r="AN510" s="8"/>
    </row>
    <row r="511" spans="1:40" ht="31.5" customHeight="1" outlineLevel="1" x14ac:dyDescent="0.25">
      <c r="A511" s="78" t="s">
        <v>130</v>
      </c>
      <c r="B511" s="79" t="s">
        <v>76</v>
      </c>
      <c r="C511" s="79" t="s">
        <v>25</v>
      </c>
      <c r="D511" s="79" t="s">
        <v>74</v>
      </c>
      <c r="E511" s="79" t="s">
        <v>443</v>
      </c>
      <c r="F511" s="79" t="s">
        <v>9</v>
      </c>
      <c r="G511" s="316">
        <f t="shared" si="255"/>
        <v>0</v>
      </c>
      <c r="H511" s="316">
        <f t="shared" si="255"/>
        <v>0</v>
      </c>
      <c r="I511" s="338">
        <f t="shared" si="255"/>
        <v>0</v>
      </c>
      <c r="J511" s="338">
        <f t="shared" si="255"/>
        <v>0</v>
      </c>
      <c r="K511" s="408">
        <f t="shared" si="255"/>
        <v>0</v>
      </c>
      <c r="L511" s="408">
        <f t="shared" si="255"/>
        <v>0</v>
      </c>
      <c r="M511" s="322">
        <f t="shared" si="255"/>
        <v>0</v>
      </c>
      <c r="N511" s="322">
        <f t="shared" si="255"/>
        <v>0</v>
      </c>
      <c r="O511" s="312">
        <f t="shared" si="255"/>
        <v>0</v>
      </c>
      <c r="P511" s="312">
        <f t="shared" si="255"/>
        <v>0</v>
      </c>
      <c r="Q511" s="322">
        <f t="shared" si="255"/>
        <v>0</v>
      </c>
      <c r="R511" s="322">
        <f t="shared" si="255"/>
        <v>0</v>
      </c>
      <c r="S511" s="312">
        <f t="shared" si="255"/>
        <v>0</v>
      </c>
      <c r="T511" s="312">
        <f t="shared" si="255"/>
        <v>0</v>
      </c>
      <c r="U511" s="132">
        <f t="shared" si="245"/>
        <v>0</v>
      </c>
      <c r="V511" s="132">
        <f t="shared" si="246"/>
        <v>0</v>
      </c>
      <c r="W511" s="8"/>
      <c r="AN511" s="8"/>
    </row>
    <row r="512" spans="1:40" ht="31.5" customHeight="1" outlineLevel="1" x14ac:dyDescent="0.25">
      <c r="A512" s="74" t="s">
        <v>124</v>
      </c>
      <c r="B512" s="75" t="s">
        <v>76</v>
      </c>
      <c r="C512" s="75" t="s">
        <v>25</v>
      </c>
      <c r="D512" s="75" t="s">
        <v>74</v>
      </c>
      <c r="E512" s="75" t="s">
        <v>443</v>
      </c>
      <c r="F512" s="75" t="s">
        <v>117</v>
      </c>
      <c r="G512" s="311"/>
      <c r="H512" s="311"/>
      <c r="I512" s="320"/>
      <c r="J512" s="320"/>
      <c r="K512" s="409"/>
      <c r="L512" s="409"/>
      <c r="M512" s="323"/>
      <c r="N512" s="323"/>
      <c r="O512" s="313"/>
      <c r="P512" s="313"/>
      <c r="Q512" s="323"/>
      <c r="R512" s="323"/>
      <c r="S512" s="313"/>
      <c r="T512" s="313"/>
      <c r="U512" s="131">
        <f t="shared" si="245"/>
        <v>0</v>
      </c>
      <c r="V512" s="131">
        <f t="shared" si="246"/>
        <v>0</v>
      </c>
      <c r="W512" s="8"/>
      <c r="AN512" s="8"/>
    </row>
    <row r="513" spans="1:22" s="82" customFormat="1" ht="31.5" customHeight="1" outlineLevel="1" x14ac:dyDescent="0.25">
      <c r="A513" s="78" t="s">
        <v>787</v>
      </c>
      <c r="B513" s="79" t="s">
        <v>76</v>
      </c>
      <c r="C513" s="79" t="s">
        <v>25</v>
      </c>
      <c r="D513" s="79" t="s">
        <v>74</v>
      </c>
      <c r="E513" s="79" t="s">
        <v>495</v>
      </c>
      <c r="F513" s="79" t="s">
        <v>9</v>
      </c>
      <c r="G513" s="316">
        <f t="shared" ref="G513:T515" si="256">G514</f>
        <v>0</v>
      </c>
      <c r="H513" s="316">
        <f t="shared" si="256"/>
        <v>0</v>
      </c>
      <c r="I513" s="338">
        <f t="shared" si="256"/>
        <v>0</v>
      </c>
      <c r="J513" s="338">
        <f t="shared" si="256"/>
        <v>0</v>
      </c>
      <c r="K513" s="408">
        <f t="shared" si="256"/>
        <v>0</v>
      </c>
      <c r="L513" s="408">
        <f t="shared" si="256"/>
        <v>0</v>
      </c>
      <c r="M513" s="322">
        <f t="shared" si="256"/>
        <v>0</v>
      </c>
      <c r="N513" s="322">
        <f t="shared" si="256"/>
        <v>0</v>
      </c>
      <c r="O513" s="312">
        <f t="shared" si="256"/>
        <v>0</v>
      </c>
      <c r="P513" s="312">
        <f t="shared" si="256"/>
        <v>0</v>
      </c>
      <c r="Q513" s="322">
        <f t="shared" si="256"/>
        <v>0</v>
      </c>
      <c r="R513" s="322">
        <f t="shared" si="256"/>
        <v>0</v>
      </c>
      <c r="S513" s="312">
        <f t="shared" si="256"/>
        <v>0</v>
      </c>
      <c r="T513" s="312">
        <f t="shared" si="256"/>
        <v>0</v>
      </c>
      <c r="U513" s="132">
        <f t="shared" si="245"/>
        <v>0</v>
      </c>
      <c r="V513" s="132">
        <f t="shared" si="246"/>
        <v>0</v>
      </c>
    </row>
    <row r="514" spans="1:22" s="77" customFormat="1" ht="47.25" customHeight="1" outlineLevel="1" x14ac:dyDescent="0.25">
      <c r="A514" s="78" t="s">
        <v>41</v>
      </c>
      <c r="B514" s="79" t="s">
        <v>76</v>
      </c>
      <c r="C514" s="79" t="s">
        <v>25</v>
      </c>
      <c r="D514" s="79" t="s">
        <v>74</v>
      </c>
      <c r="E514" s="79" t="s">
        <v>500</v>
      </c>
      <c r="F514" s="79" t="s">
        <v>9</v>
      </c>
      <c r="G514" s="316">
        <f t="shared" si="256"/>
        <v>0</v>
      </c>
      <c r="H514" s="316">
        <f t="shared" si="256"/>
        <v>0</v>
      </c>
      <c r="I514" s="338">
        <f t="shared" si="256"/>
        <v>0</v>
      </c>
      <c r="J514" s="338">
        <f t="shared" si="256"/>
        <v>0</v>
      </c>
      <c r="K514" s="408">
        <f t="shared" si="256"/>
        <v>0</v>
      </c>
      <c r="L514" s="408">
        <f t="shared" si="256"/>
        <v>0</v>
      </c>
      <c r="M514" s="322">
        <f t="shared" si="256"/>
        <v>0</v>
      </c>
      <c r="N514" s="322">
        <f t="shared" si="256"/>
        <v>0</v>
      </c>
      <c r="O514" s="312">
        <f t="shared" si="256"/>
        <v>0</v>
      </c>
      <c r="P514" s="312">
        <f t="shared" si="256"/>
        <v>0</v>
      </c>
      <c r="Q514" s="322">
        <f t="shared" si="256"/>
        <v>0</v>
      </c>
      <c r="R514" s="322">
        <f t="shared" si="256"/>
        <v>0</v>
      </c>
      <c r="S514" s="312">
        <f t="shared" si="256"/>
        <v>0</v>
      </c>
      <c r="T514" s="312">
        <f t="shared" si="256"/>
        <v>0</v>
      </c>
      <c r="U514" s="132">
        <f t="shared" si="245"/>
        <v>0</v>
      </c>
      <c r="V514" s="132">
        <f t="shared" si="246"/>
        <v>0</v>
      </c>
    </row>
    <row r="515" spans="1:22" s="80" customFormat="1" ht="63" customHeight="1" outlineLevel="1" x14ac:dyDescent="0.25">
      <c r="A515" s="78" t="s">
        <v>112</v>
      </c>
      <c r="B515" s="79" t="s">
        <v>76</v>
      </c>
      <c r="C515" s="79" t="s">
        <v>25</v>
      </c>
      <c r="D515" s="79" t="s">
        <v>74</v>
      </c>
      <c r="E515" s="79" t="s">
        <v>501</v>
      </c>
      <c r="F515" s="79" t="s">
        <v>9</v>
      </c>
      <c r="G515" s="316">
        <f t="shared" si="256"/>
        <v>0</v>
      </c>
      <c r="H515" s="316">
        <f t="shared" si="256"/>
        <v>0</v>
      </c>
      <c r="I515" s="338">
        <f t="shared" si="256"/>
        <v>0</v>
      </c>
      <c r="J515" s="338">
        <f t="shared" si="256"/>
        <v>0</v>
      </c>
      <c r="K515" s="408">
        <f t="shared" si="256"/>
        <v>0</v>
      </c>
      <c r="L515" s="408">
        <f t="shared" si="256"/>
        <v>0</v>
      </c>
      <c r="M515" s="322">
        <f t="shared" si="256"/>
        <v>0</v>
      </c>
      <c r="N515" s="322">
        <f t="shared" si="256"/>
        <v>0</v>
      </c>
      <c r="O515" s="312">
        <f t="shared" si="256"/>
        <v>0</v>
      </c>
      <c r="P515" s="312">
        <f t="shared" si="256"/>
        <v>0</v>
      </c>
      <c r="Q515" s="322">
        <f t="shared" si="256"/>
        <v>0</v>
      </c>
      <c r="R515" s="322">
        <f t="shared" si="256"/>
        <v>0</v>
      </c>
      <c r="S515" s="312">
        <f t="shared" si="256"/>
        <v>0</v>
      </c>
      <c r="T515" s="312">
        <f t="shared" si="256"/>
        <v>0</v>
      </c>
      <c r="U515" s="132">
        <f t="shared" si="245"/>
        <v>0</v>
      </c>
      <c r="V515" s="132">
        <f t="shared" si="246"/>
        <v>0</v>
      </c>
    </row>
    <row r="516" spans="1:22" s="80" customFormat="1" ht="15.75" customHeight="1" outlineLevel="1" x14ac:dyDescent="0.25">
      <c r="A516" s="81" t="s">
        <v>116</v>
      </c>
      <c r="B516" s="75" t="s">
        <v>76</v>
      </c>
      <c r="C516" s="75" t="s">
        <v>25</v>
      </c>
      <c r="D516" s="75" t="s">
        <v>74</v>
      </c>
      <c r="E516" s="27" t="s">
        <v>501</v>
      </c>
      <c r="F516" s="75" t="s">
        <v>114</v>
      </c>
      <c r="G516" s="311"/>
      <c r="H516" s="311"/>
      <c r="I516" s="320"/>
      <c r="J516" s="320"/>
      <c r="K516" s="409"/>
      <c r="L516" s="409"/>
      <c r="M516" s="323"/>
      <c r="N516" s="323"/>
      <c r="O516" s="313"/>
      <c r="P516" s="313"/>
      <c r="Q516" s="323"/>
      <c r="R516" s="323"/>
      <c r="S516" s="313"/>
      <c r="T516" s="313"/>
      <c r="U516" s="131">
        <f t="shared" si="245"/>
        <v>0</v>
      </c>
      <c r="V516" s="131">
        <f t="shared" si="246"/>
        <v>0</v>
      </c>
    </row>
    <row r="517" spans="1:22" s="77" customFormat="1" ht="30" customHeight="1" outlineLevel="1" x14ac:dyDescent="0.25">
      <c r="A517" s="81" t="s">
        <v>351</v>
      </c>
      <c r="B517" s="75" t="s">
        <v>76</v>
      </c>
      <c r="C517" s="75" t="s">
        <v>58</v>
      </c>
      <c r="D517" s="75" t="s">
        <v>10</v>
      </c>
      <c r="E517" s="75" t="s">
        <v>365</v>
      </c>
      <c r="F517" s="75" t="s">
        <v>9</v>
      </c>
      <c r="G517" s="316">
        <f>G522+G544+G518</f>
        <v>0</v>
      </c>
      <c r="H517" s="316">
        <f t="shared" ref="H517:T517" si="257">H522+H544+H518</f>
        <v>157.5</v>
      </c>
      <c r="I517" s="316">
        <f t="shared" si="257"/>
        <v>0</v>
      </c>
      <c r="J517" s="316">
        <f t="shared" si="257"/>
        <v>363</v>
      </c>
      <c r="K517" s="408">
        <f t="shared" si="257"/>
        <v>0</v>
      </c>
      <c r="L517" s="408">
        <f t="shared" si="257"/>
        <v>0</v>
      </c>
      <c r="M517" s="316">
        <f t="shared" si="257"/>
        <v>0</v>
      </c>
      <c r="N517" s="316">
        <f t="shared" si="257"/>
        <v>0</v>
      </c>
      <c r="O517" s="316">
        <f t="shared" si="257"/>
        <v>0</v>
      </c>
      <c r="P517" s="316">
        <f t="shared" si="257"/>
        <v>0</v>
      </c>
      <c r="Q517" s="316">
        <f t="shared" si="257"/>
        <v>0</v>
      </c>
      <c r="R517" s="316">
        <f t="shared" si="257"/>
        <v>0</v>
      </c>
      <c r="S517" s="316">
        <f t="shared" si="257"/>
        <v>0</v>
      </c>
      <c r="T517" s="316">
        <f t="shared" si="257"/>
        <v>0</v>
      </c>
      <c r="U517" s="131">
        <f t="shared" si="245"/>
        <v>157.5</v>
      </c>
      <c r="V517" s="131">
        <f t="shared" si="246"/>
        <v>363</v>
      </c>
    </row>
    <row r="518" spans="1:22" s="80" customFormat="1" ht="18.75" customHeight="1" outlineLevel="1" x14ac:dyDescent="0.25">
      <c r="A518" s="78" t="s">
        <v>582</v>
      </c>
      <c r="B518" s="79" t="s">
        <v>76</v>
      </c>
      <c r="C518" s="79" t="s">
        <v>58</v>
      </c>
      <c r="D518" s="79" t="s">
        <v>14</v>
      </c>
      <c r="E518" s="79" t="s">
        <v>365</v>
      </c>
      <c r="F518" s="79" t="s">
        <v>9</v>
      </c>
      <c r="G518" s="316">
        <f t="shared" ref="G518:T520" si="258">G519</f>
        <v>0</v>
      </c>
      <c r="H518" s="316">
        <f t="shared" si="258"/>
        <v>157.5</v>
      </c>
      <c r="I518" s="338">
        <f t="shared" si="258"/>
        <v>0</v>
      </c>
      <c r="J518" s="338">
        <f t="shared" si="258"/>
        <v>363</v>
      </c>
      <c r="K518" s="408">
        <f t="shared" si="258"/>
        <v>0</v>
      </c>
      <c r="L518" s="408">
        <f t="shared" si="258"/>
        <v>0</v>
      </c>
      <c r="M518" s="322">
        <f t="shared" si="258"/>
        <v>0</v>
      </c>
      <c r="N518" s="322">
        <f t="shared" si="258"/>
        <v>0</v>
      </c>
      <c r="O518" s="312">
        <f t="shared" si="258"/>
        <v>0</v>
      </c>
      <c r="P518" s="312">
        <f t="shared" si="258"/>
        <v>0</v>
      </c>
      <c r="Q518" s="322">
        <f t="shared" si="258"/>
        <v>0</v>
      </c>
      <c r="R518" s="322">
        <f t="shared" si="258"/>
        <v>0</v>
      </c>
      <c r="S518" s="312">
        <f t="shared" si="258"/>
        <v>0</v>
      </c>
      <c r="T518" s="312">
        <f t="shared" si="258"/>
        <v>0</v>
      </c>
      <c r="U518" s="132">
        <f t="shared" si="245"/>
        <v>157.5</v>
      </c>
      <c r="V518" s="132">
        <f t="shared" si="246"/>
        <v>363</v>
      </c>
    </row>
    <row r="519" spans="1:22" s="77" customFormat="1" ht="31.5" customHeight="1" outlineLevel="1" x14ac:dyDescent="0.25">
      <c r="A519" s="78" t="s">
        <v>865</v>
      </c>
      <c r="B519" s="79" t="s">
        <v>76</v>
      </c>
      <c r="C519" s="79" t="s">
        <v>58</v>
      </c>
      <c r="D519" s="79" t="s">
        <v>14</v>
      </c>
      <c r="E519" s="79" t="s">
        <v>405</v>
      </c>
      <c r="F519" s="79" t="s">
        <v>9</v>
      </c>
      <c r="G519" s="316">
        <f t="shared" si="258"/>
        <v>0</v>
      </c>
      <c r="H519" s="316">
        <f t="shared" si="258"/>
        <v>157.5</v>
      </c>
      <c r="I519" s="338">
        <f t="shared" si="258"/>
        <v>0</v>
      </c>
      <c r="J519" s="338">
        <f t="shared" si="258"/>
        <v>363</v>
      </c>
      <c r="K519" s="408">
        <f t="shared" si="258"/>
        <v>0</v>
      </c>
      <c r="L519" s="408">
        <f t="shared" si="258"/>
        <v>0</v>
      </c>
      <c r="M519" s="322">
        <f t="shared" si="258"/>
        <v>0</v>
      </c>
      <c r="N519" s="322">
        <f t="shared" si="258"/>
        <v>0</v>
      </c>
      <c r="O519" s="312">
        <f t="shared" si="258"/>
        <v>0</v>
      </c>
      <c r="P519" s="312">
        <f t="shared" si="258"/>
        <v>0</v>
      </c>
      <c r="Q519" s="322">
        <f t="shared" si="258"/>
        <v>0</v>
      </c>
      <c r="R519" s="322">
        <f t="shared" si="258"/>
        <v>0</v>
      </c>
      <c r="S519" s="312">
        <f t="shared" si="258"/>
        <v>0</v>
      </c>
      <c r="T519" s="312">
        <f t="shared" si="258"/>
        <v>0</v>
      </c>
      <c r="U519" s="132">
        <f t="shared" si="245"/>
        <v>157.5</v>
      </c>
      <c r="V519" s="132">
        <f t="shared" si="246"/>
        <v>363</v>
      </c>
    </row>
    <row r="520" spans="1:22" s="77" customFormat="1" ht="31.5" customHeight="1" outlineLevel="1" x14ac:dyDescent="0.25">
      <c r="A520" s="78" t="s">
        <v>122</v>
      </c>
      <c r="B520" s="79" t="s">
        <v>76</v>
      </c>
      <c r="C520" s="79" t="s">
        <v>58</v>
      </c>
      <c r="D520" s="79" t="s">
        <v>14</v>
      </c>
      <c r="E520" s="79" t="s">
        <v>412</v>
      </c>
      <c r="F520" s="79" t="s">
        <v>9</v>
      </c>
      <c r="G520" s="316">
        <f t="shared" si="258"/>
        <v>0</v>
      </c>
      <c r="H520" s="316">
        <f t="shared" si="258"/>
        <v>157.5</v>
      </c>
      <c r="I520" s="338">
        <f t="shared" si="258"/>
        <v>0</v>
      </c>
      <c r="J520" s="338">
        <f t="shared" si="258"/>
        <v>363</v>
      </c>
      <c r="K520" s="408">
        <f t="shared" si="258"/>
        <v>0</v>
      </c>
      <c r="L520" s="408">
        <f t="shared" si="258"/>
        <v>0</v>
      </c>
      <c r="M520" s="322">
        <f t="shared" si="258"/>
        <v>0</v>
      </c>
      <c r="N520" s="322">
        <f t="shared" si="258"/>
        <v>0</v>
      </c>
      <c r="O520" s="312">
        <f t="shared" si="258"/>
        <v>0</v>
      </c>
      <c r="P520" s="312">
        <f t="shared" si="258"/>
        <v>0</v>
      </c>
      <c r="Q520" s="322">
        <f t="shared" si="258"/>
        <v>0</v>
      </c>
      <c r="R520" s="322">
        <f t="shared" si="258"/>
        <v>0</v>
      </c>
      <c r="S520" s="312">
        <f t="shared" si="258"/>
        <v>0</v>
      </c>
      <c r="T520" s="312">
        <f t="shared" si="258"/>
        <v>0</v>
      </c>
      <c r="U520" s="132">
        <f t="shared" si="245"/>
        <v>157.5</v>
      </c>
      <c r="V520" s="132">
        <f t="shared" si="246"/>
        <v>363</v>
      </c>
    </row>
    <row r="521" spans="1:22" s="77" customFormat="1" ht="31.5" customHeight="1" outlineLevel="1" x14ac:dyDescent="0.25">
      <c r="A521" s="74" t="s">
        <v>124</v>
      </c>
      <c r="B521" s="75" t="s">
        <v>76</v>
      </c>
      <c r="C521" s="75" t="s">
        <v>58</v>
      </c>
      <c r="D521" s="75" t="s">
        <v>14</v>
      </c>
      <c r="E521" s="75" t="s">
        <v>412</v>
      </c>
      <c r="F521" s="75" t="s">
        <v>117</v>
      </c>
      <c r="G521" s="311"/>
      <c r="H521" s="311">
        <v>157.5</v>
      </c>
      <c r="I521" s="320"/>
      <c r="J521" s="320">
        <v>363</v>
      </c>
      <c r="K521" s="409"/>
      <c r="L521" s="409"/>
      <c r="M521" s="323"/>
      <c r="N521" s="323"/>
      <c r="O521" s="313"/>
      <c r="P521" s="313"/>
      <c r="Q521" s="323"/>
      <c r="R521" s="323"/>
      <c r="S521" s="313"/>
      <c r="T521" s="313"/>
      <c r="U521" s="131">
        <f t="shared" si="245"/>
        <v>157.5</v>
      </c>
      <c r="V521" s="131">
        <f t="shared" si="246"/>
        <v>363</v>
      </c>
    </row>
    <row r="522" spans="1:22" s="80" customFormat="1" ht="35.25" customHeight="1" outlineLevel="1" x14ac:dyDescent="0.25">
      <c r="A522" s="78" t="s">
        <v>352</v>
      </c>
      <c r="B522" s="79" t="s">
        <v>76</v>
      </c>
      <c r="C522" s="79" t="s">
        <v>58</v>
      </c>
      <c r="D522" s="79" t="s">
        <v>36</v>
      </c>
      <c r="E522" s="381" t="s">
        <v>365</v>
      </c>
      <c r="F522" s="79" t="s">
        <v>9</v>
      </c>
      <c r="G522" s="316">
        <f t="shared" ref="G522:T522" si="259">G523</f>
        <v>0</v>
      </c>
      <c r="H522" s="316">
        <f t="shared" si="259"/>
        <v>0</v>
      </c>
      <c r="I522" s="338">
        <f t="shared" si="259"/>
        <v>0</v>
      </c>
      <c r="J522" s="338">
        <f t="shared" si="259"/>
        <v>0</v>
      </c>
      <c r="K522" s="408">
        <f t="shared" si="259"/>
        <v>0</v>
      </c>
      <c r="L522" s="408">
        <f t="shared" si="259"/>
        <v>0</v>
      </c>
      <c r="M522" s="322">
        <f t="shared" si="259"/>
        <v>0</v>
      </c>
      <c r="N522" s="322">
        <f t="shared" si="259"/>
        <v>0</v>
      </c>
      <c r="O522" s="312">
        <f t="shared" si="259"/>
        <v>0</v>
      </c>
      <c r="P522" s="312">
        <f t="shared" si="259"/>
        <v>0</v>
      </c>
      <c r="Q522" s="322">
        <f t="shared" si="259"/>
        <v>0</v>
      </c>
      <c r="R522" s="322">
        <f t="shared" si="259"/>
        <v>0</v>
      </c>
      <c r="S522" s="312">
        <f t="shared" si="259"/>
        <v>0</v>
      </c>
      <c r="T522" s="312">
        <f t="shared" si="259"/>
        <v>0</v>
      </c>
      <c r="U522" s="132">
        <f t="shared" si="245"/>
        <v>0</v>
      </c>
      <c r="V522" s="132">
        <f t="shared" si="246"/>
        <v>0</v>
      </c>
    </row>
    <row r="523" spans="1:22" s="80" customFormat="1" ht="34.5" customHeight="1" outlineLevel="1" x14ac:dyDescent="0.25">
      <c r="A523" s="78" t="s">
        <v>784</v>
      </c>
      <c r="B523" s="79" t="s">
        <v>76</v>
      </c>
      <c r="C523" s="79" t="s">
        <v>58</v>
      </c>
      <c r="D523" s="79" t="s">
        <v>36</v>
      </c>
      <c r="E523" s="79" t="s">
        <v>380</v>
      </c>
      <c r="F523" s="79" t="s">
        <v>9</v>
      </c>
      <c r="G523" s="316">
        <f t="shared" ref="G523:T523" si="260">G542+G524+G530+G532+G538+G540+G534</f>
        <v>0</v>
      </c>
      <c r="H523" s="316">
        <f>H542+H524+H530+H532+H538+H540+H534</f>
        <v>0</v>
      </c>
      <c r="I523" s="338">
        <f t="shared" si="260"/>
        <v>0</v>
      </c>
      <c r="J523" s="338">
        <f>J542+J524+J530+J532+J538+J540+J534</f>
        <v>0</v>
      </c>
      <c r="K523" s="408">
        <f t="shared" si="260"/>
        <v>0</v>
      </c>
      <c r="L523" s="408">
        <f t="shared" si="260"/>
        <v>0</v>
      </c>
      <c r="M523" s="322">
        <f t="shared" si="260"/>
        <v>0</v>
      </c>
      <c r="N523" s="322">
        <f t="shared" si="260"/>
        <v>0</v>
      </c>
      <c r="O523" s="312">
        <f t="shared" si="260"/>
        <v>0</v>
      </c>
      <c r="P523" s="312">
        <f t="shared" si="260"/>
        <v>0</v>
      </c>
      <c r="Q523" s="322">
        <f t="shared" si="260"/>
        <v>0</v>
      </c>
      <c r="R523" s="322">
        <f t="shared" si="260"/>
        <v>0</v>
      </c>
      <c r="S523" s="312">
        <f t="shared" si="260"/>
        <v>0</v>
      </c>
      <c r="T523" s="312">
        <f t="shared" si="260"/>
        <v>0</v>
      </c>
      <c r="U523" s="132">
        <f t="shared" si="245"/>
        <v>0</v>
      </c>
      <c r="V523" s="132">
        <f t="shared" si="246"/>
        <v>0</v>
      </c>
    </row>
    <row r="524" spans="1:22" s="77" customFormat="1" ht="31.5" customHeight="1" outlineLevel="1" x14ac:dyDescent="0.25">
      <c r="A524" s="78" t="s">
        <v>41</v>
      </c>
      <c r="B524" s="79" t="s">
        <v>76</v>
      </c>
      <c r="C524" s="79" t="s">
        <v>58</v>
      </c>
      <c r="D524" s="79" t="s">
        <v>36</v>
      </c>
      <c r="E524" s="79" t="s">
        <v>414</v>
      </c>
      <c r="F524" s="79" t="s">
        <v>9</v>
      </c>
      <c r="G524" s="316">
        <f t="shared" ref="G524:T524" si="261">G525</f>
        <v>0</v>
      </c>
      <c r="H524" s="316">
        <f t="shared" si="261"/>
        <v>0</v>
      </c>
      <c r="I524" s="338">
        <f t="shared" si="261"/>
        <v>0</v>
      </c>
      <c r="J524" s="338">
        <f t="shared" si="261"/>
        <v>0</v>
      </c>
      <c r="K524" s="408">
        <f t="shared" si="261"/>
        <v>0</v>
      </c>
      <c r="L524" s="408">
        <f t="shared" si="261"/>
        <v>0</v>
      </c>
      <c r="M524" s="322">
        <f t="shared" si="261"/>
        <v>0</v>
      </c>
      <c r="N524" s="322">
        <f t="shared" si="261"/>
        <v>0</v>
      </c>
      <c r="O524" s="312">
        <f t="shared" si="261"/>
        <v>0</v>
      </c>
      <c r="P524" s="312">
        <f t="shared" si="261"/>
        <v>0</v>
      </c>
      <c r="Q524" s="322">
        <f t="shared" si="261"/>
        <v>0</v>
      </c>
      <c r="R524" s="322">
        <f t="shared" si="261"/>
        <v>0</v>
      </c>
      <c r="S524" s="312">
        <f t="shared" si="261"/>
        <v>0</v>
      </c>
      <c r="T524" s="312">
        <f t="shared" si="261"/>
        <v>0</v>
      </c>
      <c r="U524" s="132">
        <f t="shared" si="245"/>
        <v>0</v>
      </c>
      <c r="V524" s="132">
        <f t="shared" si="246"/>
        <v>0</v>
      </c>
    </row>
    <row r="525" spans="1:22" s="80" customFormat="1" ht="30.75" customHeight="1" outlineLevel="1" x14ac:dyDescent="0.25">
      <c r="A525" s="78" t="s">
        <v>464</v>
      </c>
      <c r="B525" s="79" t="s">
        <v>76</v>
      </c>
      <c r="C525" s="79" t="s">
        <v>58</v>
      </c>
      <c r="D525" s="79" t="s">
        <v>36</v>
      </c>
      <c r="E525" s="79" t="s">
        <v>889</v>
      </c>
      <c r="F525" s="79" t="s">
        <v>9</v>
      </c>
      <c r="G525" s="316">
        <f t="shared" ref="G525:T525" si="262">G526+G528</f>
        <v>0</v>
      </c>
      <c r="H525" s="316">
        <f>H526+H528</f>
        <v>0</v>
      </c>
      <c r="I525" s="338">
        <f t="shared" si="262"/>
        <v>0</v>
      </c>
      <c r="J525" s="338">
        <f>J526+J528</f>
        <v>0</v>
      </c>
      <c r="K525" s="408">
        <f t="shared" si="262"/>
        <v>0</v>
      </c>
      <c r="L525" s="408">
        <f t="shared" si="262"/>
        <v>0</v>
      </c>
      <c r="M525" s="322">
        <f t="shared" si="262"/>
        <v>0</v>
      </c>
      <c r="N525" s="322">
        <f t="shared" si="262"/>
        <v>0</v>
      </c>
      <c r="O525" s="312">
        <f t="shared" si="262"/>
        <v>0</v>
      </c>
      <c r="P525" s="312">
        <f t="shared" si="262"/>
        <v>0</v>
      </c>
      <c r="Q525" s="322">
        <f t="shared" si="262"/>
        <v>0</v>
      </c>
      <c r="R525" s="322">
        <f t="shared" si="262"/>
        <v>0</v>
      </c>
      <c r="S525" s="312">
        <f t="shared" si="262"/>
        <v>0</v>
      </c>
      <c r="T525" s="312">
        <f t="shared" si="262"/>
        <v>0</v>
      </c>
      <c r="U525" s="132">
        <f t="shared" si="245"/>
        <v>0</v>
      </c>
      <c r="V525" s="132">
        <f t="shared" si="246"/>
        <v>0</v>
      </c>
    </row>
    <row r="526" spans="1:22" s="80" customFormat="1" ht="30.75" customHeight="1" outlineLevel="1" x14ac:dyDescent="0.25">
      <c r="A526" s="78" t="s">
        <v>896</v>
      </c>
      <c r="B526" s="79" t="s">
        <v>76</v>
      </c>
      <c r="C526" s="79" t="s">
        <v>58</v>
      </c>
      <c r="D526" s="79" t="s">
        <v>36</v>
      </c>
      <c r="E526" s="79" t="s">
        <v>898</v>
      </c>
      <c r="F526" s="79" t="s">
        <v>9</v>
      </c>
      <c r="G526" s="316">
        <f t="shared" ref="G526:T526" si="263">G527</f>
        <v>0</v>
      </c>
      <c r="H526" s="316">
        <f t="shared" si="263"/>
        <v>0</v>
      </c>
      <c r="I526" s="338">
        <f t="shared" si="263"/>
        <v>0</v>
      </c>
      <c r="J526" s="338">
        <f t="shared" si="263"/>
        <v>0</v>
      </c>
      <c r="K526" s="408">
        <f t="shared" si="263"/>
        <v>0</v>
      </c>
      <c r="L526" s="408">
        <f t="shared" si="263"/>
        <v>0</v>
      </c>
      <c r="M526" s="322">
        <f t="shared" si="263"/>
        <v>0</v>
      </c>
      <c r="N526" s="322">
        <f t="shared" si="263"/>
        <v>0</v>
      </c>
      <c r="O526" s="312">
        <f t="shared" si="263"/>
        <v>0</v>
      </c>
      <c r="P526" s="312">
        <f t="shared" si="263"/>
        <v>0</v>
      </c>
      <c r="Q526" s="322">
        <f t="shared" si="263"/>
        <v>0</v>
      </c>
      <c r="R526" s="322">
        <f t="shared" si="263"/>
        <v>0</v>
      </c>
      <c r="S526" s="312">
        <f t="shared" si="263"/>
        <v>0</v>
      </c>
      <c r="T526" s="312">
        <f t="shared" si="263"/>
        <v>0</v>
      </c>
      <c r="U526" s="132">
        <f t="shared" si="245"/>
        <v>0</v>
      </c>
      <c r="V526" s="132">
        <f t="shared" si="246"/>
        <v>0</v>
      </c>
    </row>
    <row r="527" spans="1:22" s="80" customFormat="1" ht="31.5" customHeight="1" outlineLevel="1" x14ac:dyDescent="0.25">
      <c r="A527" s="74" t="s">
        <v>124</v>
      </c>
      <c r="B527" s="75" t="s">
        <v>76</v>
      </c>
      <c r="C527" s="75" t="s">
        <v>58</v>
      </c>
      <c r="D527" s="75" t="s">
        <v>36</v>
      </c>
      <c r="E527" s="75" t="s">
        <v>898</v>
      </c>
      <c r="F527" s="75" t="s">
        <v>117</v>
      </c>
      <c r="G527" s="311"/>
      <c r="H527" s="311"/>
      <c r="I527" s="320"/>
      <c r="J527" s="320"/>
      <c r="K527" s="409"/>
      <c r="L527" s="409"/>
      <c r="M527" s="323"/>
      <c r="N527" s="323"/>
      <c r="O527" s="313"/>
      <c r="P527" s="313"/>
      <c r="Q527" s="323"/>
      <c r="R527" s="323"/>
      <c r="S527" s="313"/>
      <c r="T527" s="313"/>
      <c r="U527" s="131">
        <f t="shared" si="245"/>
        <v>0</v>
      </c>
      <c r="V527" s="131">
        <f t="shared" si="246"/>
        <v>0</v>
      </c>
    </row>
    <row r="528" spans="1:22" s="80" customFormat="1" ht="32.25" customHeight="1" outlineLevel="1" x14ac:dyDescent="0.25">
      <c r="A528" s="78" t="s">
        <v>895</v>
      </c>
      <c r="B528" s="79" t="s">
        <v>76</v>
      </c>
      <c r="C528" s="79" t="s">
        <v>58</v>
      </c>
      <c r="D528" s="79" t="s">
        <v>36</v>
      </c>
      <c r="E528" s="79" t="s">
        <v>897</v>
      </c>
      <c r="F528" s="79" t="s">
        <v>9</v>
      </c>
      <c r="G528" s="316">
        <f t="shared" ref="G528:T528" si="264">G529</f>
        <v>0</v>
      </c>
      <c r="H528" s="316">
        <f t="shared" si="264"/>
        <v>0</v>
      </c>
      <c r="I528" s="338">
        <f t="shared" si="264"/>
        <v>0</v>
      </c>
      <c r="J528" s="338">
        <f t="shared" si="264"/>
        <v>0</v>
      </c>
      <c r="K528" s="408">
        <f t="shared" si="264"/>
        <v>0</v>
      </c>
      <c r="L528" s="408">
        <f t="shared" si="264"/>
        <v>0</v>
      </c>
      <c r="M528" s="322">
        <f t="shared" si="264"/>
        <v>0</v>
      </c>
      <c r="N528" s="322">
        <f t="shared" si="264"/>
        <v>0</v>
      </c>
      <c r="O528" s="312">
        <f t="shared" si="264"/>
        <v>0</v>
      </c>
      <c r="P528" s="312">
        <f t="shared" si="264"/>
        <v>0</v>
      </c>
      <c r="Q528" s="322">
        <f t="shared" si="264"/>
        <v>0</v>
      </c>
      <c r="R528" s="322">
        <f t="shared" si="264"/>
        <v>0</v>
      </c>
      <c r="S528" s="312">
        <f t="shared" si="264"/>
        <v>0</v>
      </c>
      <c r="T528" s="312">
        <f t="shared" si="264"/>
        <v>0</v>
      </c>
      <c r="U528" s="132">
        <f t="shared" si="245"/>
        <v>0</v>
      </c>
      <c r="V528" s="132">
        <f t="shared" si="246"/>
        <v>0</v>
      </c>
    </row>
    <row r="529" spans="1:22" s="80" customFormat="1" ht="31.5" customHeight="1" outlineLevel="1" x14ac:dyDescent="0.25">
      <c r="A529" s="74" t="s">
        <v>124</v>
      </c>
      <c r="B529" s="75" t="s">
        <v>76</v>
      </c>
      <c r="C529" s="75" t="s">
        <v>58</v>
      </c>
      <c r="D529" s="75" t="s">
        <v>36</v>
      </c>
      <c r="E529" s="75" t="s">
        <v>897</v>
      </c>
      <c r="F529" s="75" t="s">
        <v>117</v>
      </c>
      <c r="G529" s="311"/>
      <c r="H529" s="311"/>
      <c r="I529" s="320"/>
      <c r="J529" s="320"/>
      <c r="K529" s="409"/>
      <c r="L529" s="409"/>
      <c r="M529" s="323"/>
      <c r="N529" s="323"/>
      <c r="O529" s="313"/>
      <c r="P529" s="313"/>
      <c r="Q529" s="323"/>
      <c r="R529" s="323"/>
      <c r="S529" s="313"/>
      <c r="T529" s="313"/>
      <c r="U529" s="131">
        <f t="shared" si="245"/>
        <v>0</v>
      </c>
      <c r="V529" s="131">
        <f t="shared" si="246"/>
        <v>0</v>
      </c>
    </row>
    <row r="530" spans="1:22" s="80" customFormat="1" ht="15.75" customHeight="1" outlineLevel="1" x14ac:dyDescent="0.25">
      <c r="A530" s="78" t="s">
        <v>896</v>
      </c>
      <c r="B530" s="79" t="s">
        <v>76</v>
      </c>
      <c r="C530" s="79" t="s">
        <v>58</v>
      </c>
      <c r="D530" s="79" t="s">
        <v>36</v>
      </c>
      <c r="E530" s="79" t="s">
        <v>980</v>
      </c>
      <c r="F530" s="79" t="s">
        <v>9</v>
      </c>
      <c r="G530" s="316">
        <f t="shared" ref="G530:T530" si="265">G531</f>
        <v>0</v>
      </c>
      <c r="H530" s="316">
        <f t="shared" si="265"/>
        <v>0</v>
      </c>
      <c r="I530" s="338">
        <f t="shared" si="265"/>
        <v>0</v>
      </c>
      <c r="J530" s="338">
        <f t="shared" si="265"/>
        <v>0</v>
      </c>
      <c r="K530" s="408">
        <f t="shared" si="265"/>
        <v>0</v>
      </c>
      <c r="L530" s="408">
        <f t="shared" si="265"/>
        <v>0</v>
      </c>
      <c r="M530" s="322">
        <f t="shared" si="265"/>
        <v>0</v>
      </c>
      <c r="N530" s="322">
        <f t="shared" si="265"/>
        <v>0</v>
      </c>
      <c r="O530" s="312">
        <f t="shared" si="265"/>
        <v>0</v>
      </c>
      <c r="P530" s="312">
        <f t="shared" si="265"/>
        <v>0</v>
      </c>
      <c r="Q530" s="322">
        <f t="shared" si="265"/>
        <v>0</v>
      </c>
      <c r="R530" s="322">
        <f t="shared" si="265"/>
        <v>0</v>
      </c>
      <c r="S530" s="312">
        <f t="shared" si="265"/>
        <v>0</v>
      </c>
      <c r="T530" s="312">
        <f t="shared" si="265"/>
        <v>0</v>
      </c>
      <c r="U530" s="132">
        <f t="shared" si="245"/>
        <v>0</v>
      </c>
      <c r="V530" s="132">
        <f t="shared" si="246"/>
        <v>0</v>
      </c>
    </row>
    <row r="531" spans="1:22" s="80" customFormat="1" ht="31.5" customHeight="1" outlineLevel="1" x14ac:dyDescent="0.25">
      <c r="A531" s="74" t="s">
        <v>124</v>
      </c>
      <c r="B531" s="75" t="s">
        <v>76</v>
      </c>
      <c r="C531" s="75" t="s">
        <v>58</v>
      </c>
      <c r="D531" s="75" t="s">
        <v>36</v>
      </c>
      <c r="E531" s="75" t="s">
        <v>980</v>
      </c>
      <c r="F531" s="75" t="s">
        <v>117</v>
      </c>
      <c r="G531" s="311"/>
      <c r="H531" s="311"/>
      <c r="I531" s="320"/>
      <c r="J531" s="320"/>
      <c r="K531" s="409"/>
      <c r="L531" s="409"/>
      <c r="M531" s="323"/>
      <c r="N531" s="323"/>
      <c r="O531" s="313"/>
      <c r="P531" s="313"/>
      <c r="Q531" s="323"/>
      <c r="R531" s="323"/>
      <c r="S531" s="313"/>
      <c r="T531" s="313"/>
      <c r="U531" s="131">
        <f t="shared" si="245"/>
        <v>0</v>
      </c>
      <c r="V531" s="131">
        <f t="shared" si="246"/>
        <v>0</v>
      </c>
    </row>
    <row r="532" spans="1:22" s="80" customFormat="1" ht="31.5" customHeight="1" outlineLevel="1" x14ac:dyDescent="0.25">
      <c r="A532" s="78" t="s">
        <v>895</v>
      </c>
      <c r="B532" s="79" t="s">
        <v>76</v>
      </c>
      <c r="C532" s="79" t="s">
        <v>58</v>
      </c>
      <c r="D532" s="79" t="s">
        <v>36</v>
      </c>
      <c r="E532" s="79" t="s">
        <v>981</v>
      </c>
      <c r="F532" s="79" t="s">
        <v>9</v>
      </c>
      <c r="G532" s="316">
        <f t="shared" ref="G532:T532" si="266">G533</f>
        <v>0</v>
      </c>
      <c r="H532" s="316">
        <f t="shared" si="266"/>
        <v>0</v>
      </c>
      <c r="I532" s="338">
        <f t="shared" si="266"/>
        <v>0</v>
      </c>
      <c r="J532" s="338">
        <f t="shared" si="266"/>
        <v>0</v>
      </c>
      <c r="K532" s="408">
        <f t="shared" si="266"/>
        <v>0</v>
      </c>
      <c r="L532" s="408">
        <f t="shared" si="266"/>
        <v>0</v>
      </c>
      <c r="M532" s="322">
        <f t="shared" si="266"/>
        <v>0</v>
      </c>
      <c r="N532" s="322">
        <f t="shared" si="266"/>
        <v>0</v>
      </c>
      <c r="O532" s="312">
        <f t="shared" si="266"/>
        <v>0</v>
      </c>
      <c r="P532" s="312">
        <f t="shared" si="266"/>
        <v>0</v>
      </c>
      <c r="Q532" s="322">
        <f t="shared" si="266"/>
        <v>0</v>
      </c>
      <c r="R532" s="322">
        <f t="shared" si="266"/>
        <v>0</v>
      </c>
      <c r="S532" s="312">
        <f t="shared" si="266"/>
        <v>0</v>
      </c>
      <c r="T532" s="312">
        <f t="shared" si="266"/>
        <v>0</v>
      </c>
      <c r="U532" s="132">
        <f t="shared" si="245"/>
        <v>0</v>
      </c>
      <c r="V532" s="132">
        <f t="shared" si="246"/>
        <v>0</v>
      </c>
    </row>
    <row r="533" spans="1:22" s="80" customFormat="1" ht="31.5" customHeight="1" outlineLevel="1" x14ac:dyDescent="0.25">
      <c r="A533" s="74" t="s">
        <v>124</v>
      </c>
      <c r="B533" s="75" t="s">
        <v>76</v>
      </c>
      <c r="C533" s="75" t="s">
        <v>58</v>
      </c>
      <c r="D533" s="75" t="s">
        <v>36</v>
      </c>
      <c r="E533" s="75" t="s">
        <v>981</v>
      </c>
      <c r="F533" s="75" t="s">
        <v>117</v>
      </c>
      <c r="G533" s="311"/>
      <c r="H533" s="311"/>
      <c r="I533" s="320"/>
      <c r="J533" s="320"/>
      <c r="K533" s="409"/>
      <c r="L533" s="409"/>
      <c r="M533" s="323"/>
      <c r="N533" s="323"/>
      <c r="O533" s="313"/>
      <c r="P533" s="313"/>
      <c r="Q533" s="323"/>
      <c r="R533" s="323"/>
      <c r="S533" s="313"/>
      <c r="T533" s="313"/>
      <c r="U533" s="131">
        <f t="shared" si="245"/>
        <v>0</v>
      </c>
      <c r="V533" s="131">
        <f t="shared" si="246"/>
        <v>0</v>
      </c>
    </row>
    <row r="534" spans="1:22" s="80" customFormat="1" ht="31.5" customHeight="1" outlineLevel="1" x14ac:dyDescent="0.25">
      <c r="A534" s="78" t="s">
        <v>895</v>
      </c>
      <c r="B534" s="79" t="s">
        <v>76</v>
      </c>
      <c r="C534" s="79" t="s">
        <v>58</v>
      </c>
      <c r="D534" s="79" t="s">
        <v>36</v>
      </c>
      <c r="E534" s="79" t="s">
        <v>982</v>
      </c>
      <c r="F534" s="79" t="s">
        <v>9</v>
      </c>
      <c r="G534" s="316">
        <f t="shared" ref="G534:T534" si="267">G535</f>
        <v>0</v>
      </c>
      <c r="H534" s="316">
        <f t="shared" si="267"/>
        <v>0</v>
      </c>
      <c r="I534" s="338">
        <f t="shared" si="267"/>
        <v>0</v>
      </c>
      <c r="J534" s="338">
        <f t="shared" si="267"/>
        <v>0</v>
      </c>
      <c r="K534" s="408">
        <f t="shared" si="267"/>
        <v>0</v>
      </c>
      <c r="L534" s="408">
        <f t="shared" si="267"/>
        <v>0</v>
      </c>
      <c r="M534" s="322">
        <f t="shared" si="267"/>
        <v>0</v>
      </c>
      <c r="N534" s="322">
        <f t="shared" si="267"/>
        <v>0</v>
      </c>
      <c r="O534" s="312">
        <f t="shared" si="267"/>
        <v>0</v>
      </c>
      <c r="P534" s="312">
        <f t="shared" si="267"/>
        <v>0</v>
      </c>
      <c r="Q534" s="322">
        <f t="shared" si="267"/>
        <v>0</v>
      </c>
      <c r="R534" s="322">
        <f t="shared" si="267"/>
        <v>0</v>
      </c>
      <c r="S534" s="312">
        <f t="shared" si="267"/>
        <v>0</v>
      </c>
      <c r="T534" s="312">
        <f t="shared" si="267"/>
        <v>0</v>
      </c>
      <c r="U534" s="132">
        <f t="shared" si="245"/>
        <v>0</v>
      </c>
      <c r="V534" s="132">
        <f t="shared" si="246"/>
        <v>0</v>
      </c>
    </row>
    <row r="535" spans="1:22" s="80" customFormat="1" ht="31.5" customHeight="1" outlineLevel="1" x14ac:dyDescent="0.25">
      <c r="A535" s="74" t="s">
        <v>124</v>
      </c>
      <c r="B535" s="75" t="s">
        <v>76</v>
      </c>
      <c r="C535" s="75" t="s">
        <v>58</v>
      </c>
      <c r="D535" s="75" t="s">
        <v>36</v>
      </c>
      <c r="E535" s="75" t="s">
        <v>982</v>
      </c>
      <c r="F535" s="75" t="s">
        <v>117</v>
      </c>
      <c r="G535" s="311"/>
      <c r="H535" s="311"/>
      <c r="I535" s="320"/>
      <c r="J535" s="320"/>
      <c r="K535" s="409"/>
      <c r="L535" s="409"/>
      <c r="M535" s="323"/>
      <c r="N535" s="323"/>
      <c r="O535" s="313"/>
      <c r="P535" s="313"/>
      <c r="Q535" s="323"/>
      <c r="R535" s="323"/>
      <c r="S535" s="313"/>
      <c r="T535" s="313"/>
      <c r="U535" s="131">
        <f t="shared" si="245"/>
        <v>0</v>
      </c>
      <c r="V535" s="131">
        <f t="shared" si="246"/>
        <v>0</v>
      </c>
    </row>
    <row r="536" spans="1:22" s="80" customFormat="1" ht="34.5" customHeight="1" outlineLevel="1" x14ac:dyDescent="0.25">
      <c r="A536" s="78" t="s">
        <v>954</v>
      </c>
      <c r="B536" s="79" t="s">
        <v>76</v>
      </c>
      <c r="C536" s="79" t="s">
        <v>58</v>
      </c>
      <c r="D536" s="79" t="s">
        <v>36</v>
      </c>
      <c r="E536" s="79" t="s">
        <v>983</v>
      </c>
      <c r="F536" s="79" t="s">
        <v>9</v>
      </c>
      <c r="G536" s="316">
        <f t="shared" ref="G536:T536" si="268">G537</f>
        <v>0</v>
      </c>
      <c r="H536" s="316">
        <f t="shared" si="268"/>
        <v>0</v>
      </c>
      <c r="I536" s="338">
        <f t="shared" si="268"/>
        <v>0</v>
      </c>
      <c r="J536" s="338">
        <f t="shared" si="268"/>
        <v>0</v>
      </c>
      <c r="K536" s="408">
        <f t="shared" si="268"/>
        <v>0</v>
      </c>
      <c r="L536" s="408">
        <f t="shared" si="268"/>
        <v>0</v>
      </c>
      <c r="M536" s="322">
        <f t="shared" si="268"/>
        <v>0</v>
      </c>
      <c r="N536" s="322">
        <f t="shared" si="268"/>
        <v>0</v>
      </c>
      <c r="O536" s="312">
        <f t="shared" si="268"/>
        <v>0</v>
      </c>
      <c r="P536" s="312">
        <f t="shared" si="268"/>
        <v>0</v>
      </c>
      <c r="Q536" s="322">
        <f t="shared" si="268"/>
        <v>0</v>
      </c>
      <c r="R536" s="322">
        <f t="shared" si="268"/>
        <v>0</v>
      </c>
      <c r="S536" s="312">
        <f t="shared" si="268"/>
        <v>0</v>
      </c>
      <c r="T536" s="312">
        <f t="shared" si="268"/>
        <v>0</v>
      </c>
      <c r="U536" s="132">
        <f t="shared" si="245"/>
        <v>0</v>
      </c>
      <c r="V536" s="132">
        <f t="shared" si="246"/>
        <v>0</v>
      </c>
    </row>
    <row r="537" spans="1:22" s="80" customFormat="1" ht="34.5" customHeight="1" outlineLevel="1" x14ac:dyDescent="0.25">
      <c r="A537" s="74" t="s">
        <v>124</v>
      </c>
      <c r="B537" s="75" t="s">
        <v>76</v>
      </c>
      <c r="C537" s="75" t="s">
        <v>58</v>
      </c>
      <c r="D537" s="75" t="s">
        <v>36</v>
      </c>
      <c r="E537" s="75" t="s">
        <v>983</v>
      </c>
      <c r="F537" s="75" t="s">
        <v>117</v>
      </c>
      <c r="G537" s="316"/>
      <c r="H537" s="316"/>
      <c r="I537" s="338"/>
      <c r="J537" s="338"/>
      <c r="K537" s="408"/>
      <c r="L537" s="407"/>
      <c r="M537" s="322"/>
      <c r="N537" s="322"/>
      <c r="O537" s="312"/>
      <c r="P537" s="312"/>
      <c r="Q537" s="322"/>
      <c r="R537" s="322"/>
      <c r="S537" s="312"/>
      <c r="T537" s="312"/>
      <c r="U537" s="131">
        <f t="shared" si="245"/>
        <v>0</v>
      </c>
      <c r="V537" s="131">
        <f t="shared" si="246"/>
        <v>0</v>
      </c>
    </row>
    <row r="538" spans="1:22" s="80" customFormat="1" ht="34.5" customHeight="1" outlineLevel="1" x14ac:dyDescent="0.25">
      <c r="A538" s="78" t="s">
        <v>954</v>
      </c>
      <c r="B538" s="79" t="s">
        <v>76</v>
      </c>
      <c r="C538" s="79" t="s">
        <v>58</v>
      </c>
      <c r="D538" s="79" t="s">
        <v>36</v>
      </c>
      <c r="E538" s="79" t="s">
        <v>984</v>
      </c>
      <c r="F538" s="79" t="s">
        <v>9</v>
      </c>
      <c r="G538" s="316">
        <f t="shared" ref="G538:T538" si="269">G539</f>
        <v>0</v>
      </c>
      <c r="H538" s="316">
        <f t="shared" si="269"/>
        <v>0</v>
      </c>
      <c r="I538" s="338">
        <f t="shared" si="269"/>
        <v>0</v>
      </c>
      <c r="J538" s="338">
        <f t="shared" si="269"/>
        <v>0</v>
      </c>
      <c r="K538" s="408">
        <f t="shared" si="269"/>
        <v>0</v>
      </c>
      <c r="L538" s="408">
        <f t="shared" si="269"/>
        <v>0</v>
      </c>
      <c r="M538" s="322">
        <f t="shared" si="269"/>
        <v>0</v>
      </c>
      <c r="N538" s="322">
        <f t="shared" si="269"/>
        <v>0</v>
      </c>
      <c r="O538" s="312">
        <f t="shared" si="269"/>
        <v>0</v>
      </c>
      <c r="P538" s="312">
        <f t="shared" si="269"/>
        <v>0</v>
      </c>
      <c r="Q538" s="322">
        <f t="shared" si="269"/>
        <v>0</v>
      </c>
      <c r="R538" s="322">
        <f t="shared" si="269"/>
        <v>0</v>
      </c>
      <c r="S538" s="312">
        <f t="shared" si="269"/>
        <v>0</v>
      </c>
      <c r="T538" s="312">
        <f t="shared" si="269"/>
        <v>0</v>
      </c>
      <c r="U538" s="132">
        <f t="shared" si="245"/>
        <v>0</v>
      </c>
      <c r="V538" s="132">
        <f t="shared" si="246"/>
        <v>0</v>
      </c>
    </row>
    <row r="539" spans="1:22" s="80" customFormat="1" ht="34.5" customHeight="1" outlineLevel="1" x14ac:dyDescent="0.25">
      <c r="A539" s="74" t="s">
        <v>124</v>
      </c>
      <c r="B539" s="75" t="s">
        <v>76</v>
      </c>
      <c r="C539" s="75" t="s">
        <v>58</v>
      </c>
      <c r="D539" s="75" t="s">
        <v>36</v>
      </c>
      <c r="E539" s="75" t="s">
        <v>984</v>
      </c>
      <c r="F539" s="75" t="s">
        <v>117</v>
      </c>
      <c r="G539" s="316"/>
      <c r="H539" s="316"/>
      <c r="I539" s="338"/>
      <c r="J539" s="338"/>
      <c r="K539" s="408"/>
      <c r="L539" s="407"/>
      <c r="M539" s="322"/>
      <c r="N539" s="322"/>
      <c r="O539" s="312"/>
      <c r="P539" s="312"/>
      <c r="Q539" s="322"/>
      <c r="R539" s="322"/>
      <c r="S539" s="312"/>
      <c r="T539" s="312"/>
      <c r="U539" s="131">
        <f t="shared" si="245"/>
        <v>0</v>
      </c>
      <c r="V539" s="131">
        <f t="shared" si="246"/>
        <v>0</v>
      </c>
    </row>
    <row r="540" spans="1:22" s="80" customFormat="1" ht="34.5" customHeight="1" outlineLevel="1" x14ac:dyDescent="0.25">
      <c r="A540" s="78" t="s">
        <v>954</v>
      </c>
      <c r="B540" s="79" t="s">
        <v>76</v>
      </c>
      <c r="C540" s="79" t="s">
        <v>58</v>
      </c>
      <c r="D540" s="79" t="s">
        <v>36</v>
      </c>
      <c r="E540" s="79" t="s">
        <v>985</v>
      </c>
      <c r="F540" s="79" t="s">
        <v>9</v>
      </c>
      <c r="G540" s="316">
        <f t="shared" ref="G540:T540" si="270">G541</f>
        <v>0</v>
      </c>
      <c r="H540" s="316">
        <f t="shared" si="270"/>
        <v>0</v>
      </c>
      <c r="I540" s="338">
        <f t="shared" si="270"/>
        <v>0</v>
      </c>
      <c r="J540" s="338">
        <f t="shared" si="270"/>
        <v>0</v>
      </c>
      <c r="K540" s="408">
        <f t="shared" si="270"/>
        <v>0</v>
      </c>
      <c r="L540" s="408">
        <f t="shared" si="270"/>
        <v>0</v>
      </c>
      <c r="M540" s="322">
        <f t="shared" si="270"/>
        <v>0</v>
      </c>
      <c r="N540" s="322">
        <f t="shared" si="270"/>
        <v>0</v>
      </c>
      <c r="O540" s="312">
        <f t="shared" si="270"/>
        <v>0</v>
      </c>
      <c r="P540" s="312">
        <f t="shared" si="270"/>
        <v>0</v>
      </c>
      <c r="Q540" s="322">
        <f t="shared" si="270"/>
        <v>0</v>
      </c>
      <c r="R540" s="322">
        <f t="shared" si="270"/>
        <v>0</v>
      </c>
      <c r="S540" s="312">
        <f t="shared" si="270"/>
        <v>0</v>
      </c>
      <c r="T540" s="312">
        <f t="shared" si="270"/>
        <v>0</v>
      </c>
      <c r="U540" s="132">
        <f t="shared" si="245"/>
        <v>0</v>
      </c>
      <c r="V540" s="132">
        <f t="shared" si="246"/>
        <v>0</v>
      </c>
    </row>
    <row r="541" spans="1:22" s="80" customFormat="1" ht="34.5" customHeight="1" outlineLevel="1" x14ac:dyDescent="0.25">
      <c r="A541" s="74" t="s">
        <v>124</v>
      </c>
      <c r="B541" s="75" t="s">
        <v>76</v>
      </c>
      <c r="C541" s="75" t="s">
        <v>58</v>
      </c>
      <c r="D541" s="75" t="s">
        <v>36</v>
      </c>
      <c r="E541" s="75" t="s">
        <v>985</v>
      </c>
      <c r="F541" s="75" t="s">
        <v>117</v>
      </c>
      <c r="G541" s="316"/>
      <c r="H541" s="316"/>
      <c r="I541" s="338"/>
      <c r="J541" s="338"/>
      <c r="K541" s="408"/>
      <c r="L541" s="407"/>
      <c r="M541" s="321"/>
      <c r="N541" s="322"/>
      <c r="O541" s="312"/>
      <c r="P541" s="312"/>
      <c r="Q541" s="322"/>
      <c r="R541" s="322"/>
      <c r="S541" s="312"/>
      <c r="T541" s="312"/>
      <c r="U541" s="131">
        <f t="shared" si="245"/>
        <v>0</v>
      </c>
      <c r="V541" s="131">
        <f t="shared" si="246"/>
        <v>0</v>
      </c>
    </row>
    <row r="542" spans="1:22" s="80" customFormat="1" ht="31.5" customHeight="1" outlineLevel="1" x14ac:dyDescent="0.25">
      <c r="A542" s="199" t="s">
        <v>68</v>
      </c>
      <c r="B542" s="79" t="s">
        <v>76</v>
      </c>
      <c r="C542" s="79" t="s">
        <v>58</v>
      </c>
      <c r="D542" s="79" t="s">
        <v>36</v>
      </c>
      <c r="E542" s="79" t="s">
        <v>404</v>
      </c>
      <c r="F542" s="79" t="s">
        <v>9</v>
      </c>
      <c r="G542" s="316">
        <f t="shared" ref="G542:T542" si="271">G543</f>
        <v>0</v>
      </c>
      <c r="H542" s="316">
        <f t="shared" si="271"/>
        <v>0</v>
      </c>
      <c r="I542" s="338">
        <f t="shared" si="271"/>
        <v>0</v>
      </c>
      <c r="J542" s="338">
        <f t="shared" si="271"/>
        <v>0</v>
      </c>
      <c r="K542" s="408">
        <f t="shared" si="271"/>
        <v>0</v>
      </c>
      <c r="L542" s="408">
        <f t="shared" si="271"/>
        <v>0</v>
      </c>
      <c r="M542" s="322">
        <f t="shared" si="271"/>
        <v>0</v>
      </c>
      <c r="N542" s="322">
        <f t="shared" si="271"/>
        <v>0</v>
      </c>
      <c r="O542" s="312">
        <f t="shared" si="271"/>
        <v>0</v>
      </c>
      <c r="P542" s="312">
        <f t="shared" si="271"/>
        <v>0</v>
      </c>
      <c r="Q542" s="322">
        <f t="shared" si="271"/>
        <v>0</v>
      </c>
      <c r="R542" s="322">
        <f t="shared" si="271"/>
        <v>0</v>
      </c>
      <c r="S542" s="312">
        <f t="shared" si="271"/>
        <v>0</v>
      </c>
      <c r="T542" s="312">
        <f t="shared" si="271"/>
        <v>0</v>
      </c>
      <c r="U542" s="132">
        <f t="shared" si="245"/>
        <v>0</v>
      </c>
      <c r="V542" s="132">
        <f t="shared" si="246"/>
        <v>0</v>
      </c>
    </row>
    <row r="543" spans="1:22" s="80" customFormat="1" ht="31.5" customHeight="1" outlineLevel="1" x14ac:dyDescent="0.25">
      <c r="A543" s="264" t="s">
        <v>124</v>
      </c>
      <c r="B543" s="265" t="s">
        <v>76</v>
      </c>
      <c r="C543" s="265" t="s">
        <v>58</v>
      </c>
      <c r="D543" s="265" t="s">
        <v>36</v>
      </c>
      <c r="E543" s="265" t="s">
        <v>404</v>
      </c>
      <c r="F543" s="265" t="s">
        <v>117</v>
      </c>
      <c r="G543" s="311"/>
      <c r="H543" s="311"/>
      <c r="I543" s="320"/>
      <c r="J543" s="320"/>
      <c r="K543" s="409"/>
      <c r="L543" s="407"/>
      <c r="M543" s="323"/>
      <c r="N543" s="323"/>
      <c r="O543" s="313"/>
      <c r="P543" s="313"/>
      <c r="Q543" s="323"/>
      <c r="R543" s="323"/>
      <c r="S543" s="313"/>
      <c r="T543" s="313"/>
      <c r="U543" s="131">
        <f t="shared" si="245"/>
        <v>0</v>
      </c>
      <c r="V543" s="131">
        <f t="shared" si="246"/>
        <v>0</v>
      </c>
    </row>
    <row r="544" spans="1:22" s="80" customFormat="1" ht="15.75" customHeight="1" outlineLevel="1" x14ac:dyDescent="0.25">
      <c r="A544" s="78" t="s">
        <v>649</v>
      </c>
      <c r="B544" s="79" t="s">
        <v>76</v>
      </c>
      <c r="C544" s="79" t="s">
        <v>58</v>
      </c>
      <c r="D544" s="79" t="s">
        <v>20</v>
      </c>
      <c r="E544" s="79" t="s">
        <v>365</v>
      </c>
      <c r="F544" s="79" t="s">
        <v>9</v>
      </c>
      <c r="G544" s="316">
        <f t="shared" ref="G544:T544" si="272">G545+G555</f>
        <v>0</v>
      </c>
      <c r="H544" s="316">
        <f>H545+H555</f>
        <v>0</v>
      </c>
      <c r="I544" s="338">
        <f t="shared" si="272"/>
        <v>0</v>
      </c>
      <c r="J544" s="338">
        <f>J545+J555</f>
        <v>0</v>
      </c>
      <c r="K544" s="408">
        <f t="shared" si="272"/>
        <v>0</v>
      </c>
      <c r="L544" s="408">
        <f t="shared" si="272"/>
        <v>0</v>
      </c>
      <c r="M544" s="322">
        <f t="shared" si="272"/>
        <v>0</v>
      </c>
      <c r="N544" s="322">
        <f t="shared" si="272"/>
        <v>0</v>
      </c>
      <c r="O544" s="312">
        <f t="shared" si="272"/>
        <v>0</v>
      </c>
      <c r="P544" s="312">
        <f t="shared" si="272"/>
        <v>0</v>
      </c>
      <c r="Q544" s="322">
        <f t="shared" si="272"/>
        <v>0</v>
      </c>
      <c r="R544" s="322">
        <f t="shared" si="272"/>
        <v>0</v>
      </c>
      <c r="S544" s="312">
        <f t="shared" si="272"/>
        <v>0</v>
      </c>
      <c r="T544" s="312">
        <f t="shared" si="272"/>
        <v>0</v>
      </c>
      <c r="U544" s="132">
        <f t="shared" si="245"/>
        <v>0</v>
      </c>
      <c r="V544" s="132">
        <f t="shared" si="246"/>
        <v>0</v>
      </c>
    </row>
    <row r="545" spans="1:22" s="80" customFormat="1" ht="31.5" customHeight="1" outlineLevel="1" x14ac:dyDescent="0.25">
      <c r="A545" s="78" t="s">
        <v>784</v>
      </c>
      <c r="B545" s="79" t="s">
        <v>76</v>
      </c>
      <c r="C545" s="79" t="s">
        <v>58</v>
      </c>
      <c r="D545" s="79" t="s">
        <v>20</v>
      </c>
      <c r="E545" s="79" t="s">
        <v>380</v>
      </c>
      <c r="F545" s="79" t="s">
        <v>9</v>
      </c>
      <c r="G545" s="316">
        <f t="shared" ref="G545:T545" si="273">G553+G550+G546</f>
        <v>0</v>
      </c>
      <c r="H545" s="316">
        <f>H553+H550+H546</f>
        <v>0</v>
      </c>
      <c r="I545" s="338">
        <f t="shared" si="273"/>
        <v>0</v>
      </c>
      <c r="J545" s="338">
        <f>J553+J550+J546</f>
        <v>0</v>
      </c>
      <c r="K545" s="408">
        <f t="shared" si="273"/>
        <v>0</v>
      </c>
      <c r="L545" s="408">
        <f t="shared" si="273"/>
        <v>0</v>
      </c>
      <c r="M545" s="322">
        <f t="shared" si="273"/>
        <v>0</v>
      </c>
      <c r="N545" s="322">
        <f t="shared" si="273"/>
        <v>0</v>
      </c>
      <c r="O545" s="312">
        <f t="shared" si="273"/>
        <v>0</v>
      </c>
      <c r="P545" s="312">
        <f t="shared" si="273"/>
        <v>0</v>
      </c>
      <c r="Q545" s="322">
        <f t="shared" si="273"/>
        <v>0</v>
      </c>
      <c r="R545" s="322">
        <f t="shared" si="273"/>
        <v>0</v>
      </c>
      <c r="S545" s="312">
        <f t="shared" si="273"/>
        <v>0</v>
      </c>
      <c r="T545" s="312">
        <f t="shared" si="273"/>
        <v>0</v>
      </c>
      <c r="U545" s="132">
        <f t="shared" si="245"/>
        <v>0</v>
      </c>
      <c r="V545" s="132">
        <f t="shared" si="246"/>
        <v>0</v>
      </c>
    </row>
    <row r="546" spans="1:22" s="80" customFormat="1" ht="47.25" customHeight="1" outlineLevel="1" x14ac:dyDescent="0.25">
      <c r="A546" s="78" t="s">
        <v>41</v>
      </c>
      <c r="B546" s="79" t="s">
        <v>76</v>
      </c>
      <c r="C546" s="79" t="s">
        <v>58</v>
      </c>
      <c r="D546" s="79" t="s">
        <v>20</v>
      </c>
      <c r="E546" s="79" t="s">
        <v>414</v>
      </c>
      <c r="F546" s="79" t="s">
        <v>9</v>
      </c>
      <c r="G546" s="316">
        <f t="shared" ref="G546:T546" si="274">G547</f>
        <v>0</v>
      </c>
      <c r="H546" s="316">
        <f t="shared" si="274"/>
        <v>0</v>
      </c>
      <c r="I546" s="338">
        <f t="shared" si="274"/>
        <v>0</v>
      </c>
      <c r="J546" s="338">
        <f t="shared" si="274"/>
        <v>0</v>
      </c>
      <c r="K546" s="408">
        <f t="shared" si="274"/>
        <v>0</v>
      </c>
      <c r="L546" s="408">
        <f t="shared" si="274"/>
        <v>0</v>
      </c>
      <c r="M546" s="322">
        <f t="shared" si="274"/>
        <v>0</v>
      </c>
      <c r="N546" s="322">
        <f t="shared" si="274"/>
        <v>0</v>
      </c>
      <c r="O546" s="312">
        <f t="shared" si="274"/>
        <v>0</v>
      </c>
      <c r="P546" s="312">
        <f t="shared" si="274"/>
        <v>0</v>
      </c>
      <c r="Q546" s="322">
        <f t="shared" si="274"/>
        <v>0</v>
      </c>
      <c r="R546" s="322">
        <f t="shared" si="274"/>
        <v>0</v>
      </c>
      <c r="S546" s="312">
        <f t="shared" si="274"/>
        <v>0</v>
      </c>
      <c r="T546" s="312">
        <f t="shared" si="274"/>
        <v>0</v>
      </c>
      <c r="U546" s="132">
        <f t="shared" si="245"/>
        <v>0</v>
      </c>
      <c r="V546" s="132">
        <f t="shared" si="246"/>
        <v>0</v>
      </c>
    </row>
    <row r="547" spans="1:22" s="80" customFormat="1" ht="15.75" customHeight="1" outlineLevel="1" x14ac:dyDescent="0.25">
      <c r="A547" s="78" t="s">
        <v>986</v>
      </c>
      <c r="B547" s="79" t="s">
        <v>76</v>
      </c>
      <c r="C547" s="79" t="s">
        <v>58</v>
      </c>
      <c r="D547" s="79" t="s">
        <v>20</v>
      </c>
      <c r="E547" s="79" t="s">
        <v>987</v>
      </c>
      <c r="F547" s="79" t="s">
        <v>9</v>
      </c>
      <c r="G547" s="316">
        <f t="shared" ref="G547:S547" si="275">G548+G549</f>
        <v>0</v>
      </c>
      <c r="H547" s="316">
        <f>H548+H549</f>
        <v>0</v>
      </c>
      <c r="I547" s="338">
        <f t="shared" si="275"/>
        <v>0</v>
      </c>
      <c r="J547" s="338">
        <f>J548+J549</f>
        <v>0</v>
      </c>
      <c r="K547" s="408">
        <f t="shared" si="275"/>
        <v>0</v>
      </c>
      <c r="L547" s="408">
        <f t="shared" si="275"/>
        <v>0</v>
      </c>
      <c r="M547" s="322">
        <f t="shared" si="275"/>
        <v>0</v>
      </c>
      <c r="N547" s="322">
        <f t="shared" si="275"/>
        <v>0</v>
      </c>
      <c r="O547" s="312">
        <f t="shared" si="275"/>
        <v>0</v>
      </c>
      <c r="P547" s="312">
        <f t="shared" si="275"/>
        <v>0</v>
      </c>
      <c r="Q547" s="322">
        <f t="shared" si="275"/>
        <v>0</v>
      </c>
      <c r="R547" s="322">
        <f t="shared" si="275"/>
        <v>0</v>
      </c>
      <c r="S547" s="312">
        <f t="shared" si="275"/>
        <v>0</v>
      </c>
      <c r="T547" s="312"/>
      <c r="U547" s="132">
        <f t="shared" si="245"/>
        <v>0</v>
      </c>
      <c r="V547" s="132">
        <f t="shared" si="246"/>
        <v>0</v>
      </c>
    </row>
    <row r="548" spans="1:22" s="80" customFormat="1" ht="31.5" customHeight="1" outlineLevel="1" x14ac:dyDescent="0.25">
      <c r="A548" s="264" t="s">
        <v>124</v>
      </c>
      <c r="B548" s="75" t="s">
        <v>76</v>
      </c>
      <c r="C548" s="75" t="s">
        <v>58</v>
      </c>
      <c r="D548" s="75" t="s">
        <v>20</v>
      </c>
      <c r="E548" s="75" t="s">
        <v>987</v>
      </c>
      <c r="F548" s="75" t="s">
        <v>117</v>
      </c>
      <c r="G548" s="316"/>
      <c r="H548" s="316"/>
      <c r="I548" s="338"/>
      <c r="J548" s="338"/>
      <c r="K548" s="408"/>
      <c r="L548" s="407"/>
      <c r="M548" s="322"/>
      <c r="N548" s="322"/>
      <c r="O548" s="312"/>
      <c r="P548" s="312"/>
      <c r="Q548" s="322"/>
      <c r="R548" s="322"/>
      <c r="S548" s="312"/>
      <c r="T548" s="312"/>
      <c r="U548" s="131">
        <f t="shared" si="245"/>
        <v>0</v>
      </c>
      <c r="V548" s="131">
        <f t="shared" si="246"/>
        <v>0</v>
      </c>
    </row>
    <row r="549" spans="1:22" s="80" customFormat="1" ht="15.75" customHeight="1" outlineLevel="1" x14ac:dyDescent="0.25">
      <c r="A549" s="74" t="s">
        <v>813</v>
      </c>
      <c r="B549" s="75" t="s">
        <v>76</v>
      </c>
      <c r="C549" s="75" t="s">
        <v>58</v>
      </c>
      <c r="D549" s="75" t="s">
        <v>20</v>
      </c>
      <c r="E549" s="75" t="s">
        <v>987</v>
      </c>
      <c r="F549" s="75" t="s">
        <v>119</v>
      </c>
      <c r="G549" s="316"/>
      <c r="H549" s="316"/>
      <c r="I549" s="338"/>
      <c r="J549" s="338"/>
      <c r="K549" s="408"/>
      <c r="L549" s="407"/>
      <c r="M549" s="322"/>
      <c r="N549" s="322"/>
      <c r="O549" s="312"/>
      <c r="P549" s="312"/>
      <c r="Q549" s="322"/>
      <c r="R549" s="322"/>
      <c r="S549" s="312"/>
      <c r="T549" s="312"/>
      <c r="U549" s="131">
        <f t="shared" si="245"/>
        <v>0</v>
      </c>
      <c r="V549" s="131">
        <f t="shared" si="246"/>
        <v>0</v>
      </c>
    </row>
    <row r="550" spans="1:22" s="80" customFormat="1" ht="15.75" customHeight="1" outlineLevel="1" x14ac:dyDescent="0.25">
      <c r="A550" s="78" t="s">
        <v>986</v>
      </c>
      <c r="B550" s="79" t="s">
        <v>76</v>
      </c>
      <c r="C550" s="79" t="s">
        <v>58</v>
      </c>
      <c r="D550" s="79" t="s">
        <v>20</v>
      </c>
      <c r="E550" s="79" t="s">
        <v>988</v>
      </c>
      <c r="F550" s="79" t="s">
        <v>9</v>
      </c>
      <c r="G550" s="316">
        <f t="shared" ref="G550:T550" si="276">G551+G552</f>
        <v>0</v>
      </c>
      <c r="H550" s="316">
        <f t="shared" si="276"/>
        <v>0</v>
      </c>
      <c r="I550" s="338">
        <f t="shared" si="276"/>
        <v>0</v>
      </c>
      <c r="J550" s="338">
        <f t="shared" si="276"/>
        <v>0</v>
      </c>
      <c r="K550" s="408">
        <f t="shared" si="276"/>
        <v>0</v>
      </c>
      <c r="L550" s="408">
        <f t="shared" si="276"/>
        <v>0</v>
      </c>
      <c r="M550" s="322">
        <f t="shared" si="276"/>
        <v>0</v>
      </c>
      <c r="N550" s="322">
        <f t="shared" si="276"/>
        <v>0</v>
      </c>
      <c r="O550" s="312">
        <f t="shared" si="276"/>
        <v>0</v>
      </c>
      <c r="P550" s="312">
        <f t="shared" si="276"/>
        <v>0</v>
      </c>
      <c r="Q550" s="322">
        <f t="shared" si="276"/>
        <v>0</v>
      </c>
      <c r="R550" s="322">
        <f t="shared" si="276"/>
        <v>0</v>
      </c>
      <c r="S550" s="312">
        <f t="shared" si="276"/>
        <v>0</v>
      </c>
      <c r="T550" s="312">
        <f t="shared" si="276"/>
        <v>0</v>
      </c>
      <c r="U550" s="132">
        <f t="shared" si="245"/>
        <v>0</v>
      </c>
      <c r="V550" s="132">
        <f t="shared" si="246"/>
        <v>0</v>
      </c>
    </row>
    <row r="551" spans="1:22" s="80" customFormat="1" ht="31.5" customHeight="1" outlineLevel="1" x14ac:dyDescent="0.25">
      <c r="A551" s="264" t="s">
        <v>124</v>
      </c>
      <c r="B551" s="75" t="s">
        <v>76</v>
      </c>
      <c r="C551" s="75" t="s">
        <v>58</v>
      </c>
      <c r="D551" s="75" t="s">
        <v>20</v>
      </c>
      <c r="E551" s="75" t="s">
        <v>988</v>
      </c>
      <c r="F551" s="75" t="s">
        <v>117</v>
      </c>
      <c r="G551" s="316"/>
      <c r="H551" s="316"/>
      <c r="I551" s="338"/>
      <c r="J551" s="338"/>
      <c r="K551" s="408"/>
      <c r="L551" s="407"/>
      <c r="M551" s="322"/>
      <c r="N551" s="322"/>
      <c r="O551" s="312"/>
      <c r="P551" s="312"/>
      <c r="Q551" s="322"/>
      <c r="R551" s="322"/>
      <c r="S551" s="312"/>
      <c r="T551" s="312"/>
      <c r="U551" s="131">
        <f t="shared" si="245"/>
        <v>0</v>
      </c>
      <c r="V551" s="131">
        <f t="shared" si="246"/>
        <v>0</v>
      </c>
    </row>
    <row r="552" spans="1:22" s="80" customFormat="1" ht="15.75" customHeight="1" outlineLevel="1" x14ac:dyDescent="0.25">
      <c r="A552" s="74" t="s">
        <v>813</v>
      </c>
      <c r="B552" s="75" t="s">
        <v>76</v>
      </c>
      <c r="C552" s="75" t="s">
        <v>58</v>
      </c>
      <c r="D552" s="75" t="s">
        <v>20</v>
      </c>
      <c r="E552" s="75" t="s">
        <v>988</v>
      </c>
      <c r="F552" s="75" t="s">
        <v>119</v>
      </c>
      <c r="G552" s="316"/>
      <c r="H552" s="316"/>
      <c r="I552" s="338"/>
      <c r="J552" s="338"/>
      <c r="K552" s="408"/>
      <c r="L552" s="407"/>
      <c r="M552" s="322"/>
      <c r="N552" s="322"/>
      <c r="O552" s="312"/>
      <c r="P552" s="312"/>
      <c r="Q552" s="322"/>
      <c r="R552" s="322"/>
      <c r="S552" s="312"/>
      <c r="T552" s="312"/>
      <c r="U552" s="131">
        <f t="shared" si="245"/>
        <v>0</v>
      </c>
      <c r="V552" s="131">
        <f t="shared" si="246"/>
        <v>0</v>
      </c>
    </row>
    <row r="553" spans="1:22" s="80" customFormat="1" ht="31.5" customHeight="1" outlineLevel="1" x14ac:dyDescent="0.25">
      <c r="A553" s="199" t="s">
        <v>68</v>
      </c>
      <c r="B553" s="79" t="s">
        <v>76</v>
      </c>
      <c r="C553" s="79" t="s">
        <v>58</v>
      </c>
      <c r="D553" s="79" t="s">
        <v>20</v>
      </c>
      <c r="E553" s="79" t="s">
        <v>404</v>
      </c>
      <c r="F553" s="79" t="s">
        <v>9</v>
      </c>
      <c r="G553" s="316">
        <f t="shared" ref="G553:T553" si="277">G554</f>
        <v>0</v>
      </c>
      <c r="H553" s="316">
        <f t="shared" si="277"/>
        <v>0</v>
      </c>
      <c r="I553" s="338">
        <f t="shared" si="277"/>
        <v>0</v>
      </c>
      <c r="J553" s="338">
        <f t="shared" si="277"/>
        <v>0</v>
      </c>
      <c r="K553" s="408">
        <f t="shared" si="277"/>
        <v>0</v>
      </c>
      <c r="L553" s="408">
        <f t="shared" si="277"/>
        <v>0</v>
      </c>
      <c r="M553" s="322">
        <f t="shared" si="277"/>
        <v>0</v>
      </c>
      <c r="N553" s="322">
        <f t="shared" si="277"/>
        <v>0</v>
      </c>
      <c r="O553" s="312">
        <f t="shared" si="277"/>
        <v>0</v>
      </c>
      <c r="P553" s="312">
        <f t="shared" si="277"/>
        <v>0</v>
      </c>
      <c r="Q553" s="322">
        <f t="shared" si="277"/>
        <v>0</v>
      </c>
      <c r="R553" s="322">
        <f t="shared" si="277"/>
        <v>0</v>
      </c>
      <c r="S553" s="312">
        <f t="shared" si="277"/>
        <v>0</v>
      </c>
      <c r="T553" s="312">
        <f t="shared" si="277"/>
        <v>0</v>
      </c>
      <c r="U553" s="132">
        <f t="shared" si="245"/>
        <v>0</v>
      </c>
      <c r="V553" s="132">
        <f t="shared" si="246"/>
        <v>0</v>
      </c>
    </row>
    <row r="554" spans="1:22" s="80" customFormat="1" ht="15.75" customHeight="1" outlineLevel="1" x14ac:dyDescent="0.25">
      <c r="A554" s="264" t="s">
        <v>813</v>
      </c>
      <c r="B554" s="265" t="s">
        <v>76</v>
      </c>
      <c r="C554" s="265" t="s">
        <v>58</v>
      </c>
      <c r="D554" s="265" t="s">
        <v>20</v>
      </c>
      <c r="E554" s="265" t="s">
        <v>404</v>
      </c>
      <c r="F554" s="265" t="s">
        <v>119</v>
      </c>
      <c r="G554" s="311"/>
      <c r="H554" s="311"/>
      <c r="I554" s="320"/>
      <c r="J554" s="320"/>
      <c r="K554" s="409"/>
      <c r="L554" s="409"/>
      <c r="M554" s="323"/>
      <c r="N554" s="323"/>
      <c r="O554" s="313"/>
      <c r="P554" s="313"/>
      <c r="Q554" s="323"/>
      <c r="R554" s="323"/>
      <c r="S554" s="313"/>
      <c r="T554" s="313"/>
      <c r="U554" s="131">
        <f t="shared" si="245"/>
        <v>0</v>
      </c>
      <c r="V554" s="131">
        <f t="shared" si="246"/>
        <v>0</v>
      </c>
    </row>
    <row r="555" spans="1:22" s="77" customFormat="1" ht="31.5" customHeight="1" outlineLevel="1" x14ac:dyDescent="0.25">
      <c r="A555" s="78" t="s">
        <v>52</v>
      </c>
      <c r="B555" s="79" t="s">
        <v>76</v>
      </c>
      <c r="C555" s="79" t="s">
        <v>58</v>
      </c>
      <c r="D555" s="79" t="s">
        <v>20</v>
      </c>
      <c r="E555" s="79" t="s">
        <v>394</v>
      </c>
      <c r="F555" s="79" t="s">
        <v>9</v>
      </c>
      <c r="G555" s="316">
        <f t="shared" ref="G555:T555" si="278">G556+G560</f>
        <v>0</v>
      </c>
      <c r="H555" s="316">
        <f>H556+H560</f>
        <v>0</v>
      </c>
      <c r="I555" s="338">
        <f t="shared" si="278"/>
        <v>0</v>
      </c>
      <c r="J555" s="338">
        <f>J556+J560</f>
        <v>0</v>
      </c>
      <c r="K555" s="408">
        <f t="shared" si="278"/>
        <v>0</v>
      </c>
      <c r="L555" s="408">
        <f t="shared" si="278"/>
        <v>0</v>
      </c>
      <c r="M555" s="322">
        <f t="shared" si="278"/>
        <v>0</v>
      </c>
      <c r="N555" s="322">
        <f t="shared" si="278"/>
        <v>0</v>
      </c>
      <c r="O555" s="312">
        <f t="shared" si="278"/>
        <v>0</v>
      </c>
      <c r="P555" s="312">
        <f t="shared" si="278"/>
        <v>0</v>
      </c>
      <c r="Q555" s="322">
        <f t="shared" si="278"/>
        <v>0</v>
      </c>
      <c r="R555" s="322">
        <f t="shared" si="278"/>
        <v>0</v>
      </c>
      <c r="S555" s="312">
        <f t="shared" si="278"/>
        <v>0</v>
      </c>
      <c r="T555" s="312">
        <f t="shared" si="278"/>
        <v>0</v>
      </c>
      <c r="U555" s="132">
        <f t="shared" si="245"/>
        <v>0</v>
      </c>
      <c r="V555" s="132">
        <f t="shared" si="246"/>
        <v>0</v>
      </c>
    </row>
    <row r="556" spans="1:22" s="80" customFormat="1" ht="47.25" customHeight="1" outlineLevel="1" x14ac:dyDescent="0.25">
      <c r="A556" s="78" t="s">
        <v>41</v>
      </c>
      <c r="B556" s="79" t="s">
        <v>76</v>
      </c>
      <c r="C556" s="79" t="s">
        <v>58</v>
      </c>
      <c r="D556" s="79" t="s">
        <v>20</v>
      </c>
      <c r="E556" s="79" t="s">
        <v>438</v>
      </c>
      <c r="F556" s="79" t="s">
        <v>9</v>
      </c>
      <c r="G556" s="316">
        <f t="shared" ref="G556:T556" si="279">G557</f>
        <v>0</v>
      </c>
      <c r="H556" s="316">
        <f t="shared" si="279"/>
        <v>0</v>
      </c>
      <c r="I556" s="338">
        <f t="shared" si="279"/>
        <v>0</v>
      </c>
      <c r="J556" s="338">
        <f t="shared" si="279"/>
        <v>0</v>
      </c>
      <c r="K556" s="408">
        <f t="shared" si="279"/>
        <v>0</v>
      </c>
      <c r="L556" s="408">
        <f t="shared" si="279"/>
        <v>0</v>
      </c>
      <c r="M556" s="322">
        <f t="shared" si="279"/>
        <v>0</v>
      </c>
      <c r="N556" s="322">
        <f t="shared" si="279"/>
        <v>0</v>
      </c>
      <c r="O556" s="312">
        <f t="shared" si="279"/>
        <v>0</v>
      </c>
      <c r="P556" s="312">
        <f t="shared" si="279"/>
        <v>0</v>
      </c>
      <c r="Q556" s="322">
        <f t="shared" si="279"/>
        <v>0</v>
      </c>
      <c r="R556" s="322">
        <f t="shared" si="279"/>
        <v>0</v>
      </c>
      <c r="S556" s="312">
        <f t="shared" si="279"/>
        <v>0</v>
      </c>
      <c r="T556" s="312">
        <f t="shared" si="279"/>
        <v>0</v>
      </c>
      <c r="U556" s="132">
        <f t="shared" si="245"/>
        <v>0</v>
      </c>
      <c r="V556" s="132">
        <f t="shared" si="246"/>
        <v>0</v>
      </c>
    </row>
    <row r="557" spans="1:22" s="80" customFormat="1" ht="15.75" customHeight="1" outlineLevel="1" x14ac:dyDescent="0.25">
      <c r="A557" s="78" t="s">
        <v>986</v>
      </c>
      <c r="B557" s="79" t="s">
        <v>76</v>
      </c>
      <c r="C557" s="79" t="s">
        <v>58</v>
      </c>
      <c r="D557" s="79" t="s">
        <v>20</v>
      </c>
      <c r="E557" s="79" t="s">
        <v>989</v>
      </c>
      <c r="F557" s="79" t="s">
        <v>9</v>
      </c>
      <c r="G557" s="316">
        <f t="shared" ref="G557:T557" si="280">G558+G559</f>
        <v>0</v>
      </c>
      <c r="H557" s="316">
        <f>H558+H559</f>
        <v>0</v>
      </c>
      <c r="I557" s="338">
        <f t="shared" si="280"/>
        <v>0</v>
      </c>
      <c r="J557" s="338">
        <f>J558+J559</f>
        <v>0</v>
      </c>
      <c r="K557" s="408">
        <f t="shared" si="280"/>
        <v>0</v>
      </c>
      <c r="L557" s="408">
        <f t="shared" si="280"/>
        <v>0</v>
      </c>
      <c r="M557" s="322">
        <f t="shared" si="280"/>
        <v>0</v>
      </c>
      <c r="N557" s="322">
        <f t="shared" si="280"/>
        <v>0</v>
      </c>
      <c r="O557" s="312">
        <f t="shared" si="280"/>
        <v>0</v>
      </c>
      <c r="P557" s="312">
        <f t="shared" si="280"/>
        <v>0</v>
      </c>
      <c r="Q557" s="322">
        <f t="shared" si="280"/>
        <v>0</v>
      </c>
      <c r="R557" s="322">
        <f t="shared" si="280"/>
        <v>0</v>
      </c>
      <c r="S557" s="312">
        <f t="shared" si="280"/>
        <v>0</v>
      </c>
      <c r="T557" s="312">
        <f t="shared" si="280"/>
        <v>0</v>
      </c>
      <c r="U557" s="132">
        <f t="shared" si="245"/>
        <v>0</v>
      </c>
      <c r="V557" s="132">
        <f t="shared" si="246"/>
        <v>0</v>
      </c>
    </row>
    <row r="558" spans="1:22" s="80" customFormat="1" ht="31.5" customHeight="1" outlineLevel="1" x14ac:dyDescent="0.25">
      <c r="A558" s="264" t="s">
        <v>124</v>
      </c>
      <c r="B558" s="75" t="s">
        <v>76</v>
      </c>
      <c r="C558" s="75" t="s">
        <v>58</v>
      </c>
      <c r="D558" s="75" t="s">
        <v>20</v>
      </c>
      <c r="E558" s="75" t="s">
        <v>989</v>
      </c>
      <c r="F558" s="75" t="s">
        <v>117</v>
      </c>
      <c r="G558" s="316"/>
      <c r="H558" s="316"/>
      <c r="I558" s="338"/>
      <c r="J558" s="338"/>
      <c r="K558" s="408"/>
      <c r="L558" s="407"/>
      <c r="M558" s="322"/>
      <c r="N558" s="322"/>
      <c r="O558" s="312"/>
      <c r="P558" s="312"/>
      <c r="Q558" s="322"/>
      <c r="R558" s="322"/>
      <c r="S558" s="312"/>
      <c r="T558" s="312"/>
      <c r="U558" s="131">
        <f t="shared" si="245"/>
        <v>0</v>
      </c>
      <c r="V558" s="131">
        <f t="shared" si="246"/>
        <v>0</v>
      </c>
    </row>
    <row r="559" spans="1:22" s="80" customFormat="1" ht="15.75" customHeight="1" outlineLevel="1" x14ac:dyDescent="0.25">
      <c r="A559" s="74" t="s">
        <v>813</v>
      </c>
      <c r="B559" s="75" t="s">
        <v>76</v>
      </c>
      <c r="C559" s="75" t="s">
        <v>58</v>
      </c>
      <c r="D559" s="75" t="s">
        <v>20</v>
      </c>
      <c r="E559" s="75" t="s">
        <v>989</v>
      </c>
      <c r="F559" s="75" t="s">
        <v>119</v>
      </c>
      <c r="G559" s="316"/>
      <c r="H559" s="316"/>
      <c r="I559" s="338"/>
      <c r="J559" s="338"/>
      <c r="K559" s="408"/>
      <c r="L559" s="407"/>
      <c r="M559" s="322"/>
      <c r="N559" s="322"/>
      <c r="O559" s="312"/>
      <c r="P559" s="312"/>
      <c r="Q559" s="322"/>
      <c r="R559" s="322"/>
      <c r="S559" s="312"/>
      <c r="T559" s="312"/>
      <c r="U559" s="131">
        <f t="shared" si="245"/>
        <v>0</v>
      </c>
      <c r="V559" s="131">
        <f t="shared" si="246"/>
        <v>0</v>
      </c>
    </row>
    <row r="560" spans="1:22" s="80" customFormat="1" ht="15.75" customHeight="1" outlineLevel="1" x14ac:dyDescent="0.25">
      <c r="A560" s="78" t="s">
        <v>986</v>
      </c>
      <c r="B560" s="79" t="s">
        <v>76</v>
      </c>
      <c r="C560" s="79" t="s">
        <v>58</v>
      </c>
      <c r="D560" s="79" t="s">
        <v>20</v>
      </c>
      <c r="E560" s="79" t="s">
        <v>990</v>
      </c>
      <c r="F560" s="79" t="s">
        <v>9</v>
      </c>
      <c r="G560" s="316">
        <f t="shared" ref="G560:T560" si="281">G561+G562</f>
        <v>0</v>
      </c>
      <c r="H560" s="316">
        <f t="shared" si="281"/>
        <v>0</v>
      </c>
      <c r="I560" s="338">
        <f t="shared" si="281"/>
        <v>0</v>
      </c>
      <c r="J560" s="338">
        <f t="shared" si="281"/>
        <v>0</v>
      </c>
      <c r="K560" s="408">
        <f t="shared" si="281"/>
        <v>0</v>
      </c>
      <c r="L560" s="408">
        <f t="shared" si="281"/>
        <v>0</v>
      </c>
      <c r="M560" s="322">
        <f t="shared" si="281"/>
        <v>0</v>
      </c>
      <c r="N560" s="322">
        <f t="shared" si="281"/>
        <v>0</v>
      </c>
      <c r="O560" s="312">
        <f t="shared" si="281"/>
        <v>0</v>
      </c>
      <c r="P560" s="312">
        <f t="shared" si="281"/>
        <v>0</v>
      </c>
      <c r="Q560" s="322">
        <f t="shared" si="281"/>
        <v>0</v>
      </c>
      <c r="R560" s="322">
        <f t="shared" si="281"/>
        <v>0</v>
      </c>
      <c r="S560" s="312">
        <f t="shared" si="281"/>
        <v>0</v>
      </c>
      <c r="T560" s="312">
        <f t="shared" si="281"/>
        <v>0</v>
      </c>
      <c r="U560" s="132">
        <f t="shared" si="245"/>
        <v>0</v>
      </c>
      <c r="V560" s="132">
        <f t="shared" si="246"/>
        <v>0</v>
      </c>
    </row>
    <row r="561" spans="1:22" s="80" customFormat="1" ht="31.5" customHeight="1" outlineLevel="1" x14ac:dyDescent="0.25">
      <c r="A561" s="264" t="s">
        <v>124</v>
      </c>
      <c r="B561" s="75" t="s">
        <v>76</v>
      </c>
      <c r="C561" s="75" t="s">
        <v>58</v>
      </c>
      <c r="D561" s="75" t="s">
        <v>20</v>
      </c>
      <c r="E561" s="75" t="s">
        <v>990</v>
      </c>
      <c r="F561" s="75" t="s">
        <v>117</v>
      </c>
      <c r="G561" s="316"/>
      <c r="H561" s="316"/>
      <c r="I561" s="338"/>
      <c r="J561" s="338"/>
      <c r="K561" s="408"/>
      <c r="L561" s="407"/>
      <c r="M561" s="322"/>
      <c r="N561" s="322"/>
      <c r="O561" s="312"/>
      <c r="P561" s="312"/>
      <c r="Q561" s="322"/>
      <c r="R561" s="322"/>
      <c r="S561" s="312"/>
      <c r="T561" s="312"/>
      <c r="U561" s="131">
        <f t="shared" si="245"/>
        <v>0</v>
      </c>
      <c r="V561" s="131">
        <f t="shared" si="246"/>
        <v>0</v>
      </c>
    </row>
    <row r="562" spans="1:22" s="80" customFormat="1" ht="15.75" customHeight="1" outlineLevel="1" x14ac:dyDescent="0.25">
      <c r="A562" s="74" t="s">
        <v>813</v>
      </c>
      <c r="B562" s="75" t="s">
        <v>76</v>
      </c>
      <c r="C562" s="75" t="s">
        <v>58</v>
      </c>
      <c r="D562" s="75" t="s">
        <v>20</v>
      </c>
      <c r="E562" s="75" t="s">
        <v>990</v>
      </c>
      <c r="F562" s="75" t="s">
        <v>119</v>
      </c>
      <c r="G562" s="316"/>
      <c r="H562" s="316"/>
      <c r="I562" s="338"/>
      <c r="J562" s="338"/>
      <c r="K562" s="408"/>
      <c r="L562" s="407"/>
      <c r="M562" s="322"/>
      <c r="N562" s="322"/>
      <c r="O562" s="312"/>
      <c r="P562" s="312"/>
      <c r="Q562" s="322"/>
      <c r="R562" s="322"/>
      <c r="S562" s="312"/>
      <c r="T562" s="312"/>
      <c r="U562" s="131">
        <f t="shared" si="245"/>
        <v>0</v>
      </c>
      <c r="V562" s="131">
        <f t="shared" si="246"/>
        <v>0</v>
      </c>
    </row>
    <row r="563" spans="1:22" s="77" customFormat="1" ht="15.75" customHeight="1" outlineLevel="1" x14ac:dyDescent="0.25">
      <c r="A563" s="74" t="s">
        <v>89</v>
      </c>
      <c r="B563" s="75" t="s">
        <v>76</v>
      </c>
      <c r="C563" s="75" t="s">
        <v>90</v>
      </c>
      <c r="D563" s="75" t="s">
        <v>10</v>
      </c>
      <c r="E563" s="75" t="s">
        <v>365</v>
      </c>
      <c r="F563" s="75" t="s">
        <v>9</v>
      </c>
      <c r="G563" s="311">
        <f>G564+G570+G575</f>
        <v>0</v>
      </c>
      <c r="H563" s="311">
        <f t="shared" ref="H563:T563" si="282">H564+H570+H575</f>
        <v>164.4</v>
      </c>
      <c r="I563" s="311">
        <f t="shared" si="282"/>
        <v>0</v>
      </c>
      <c r="J563" s="311">
        <f t="shared" si="282"/>
        <v>164.4</v>
      </c>
      <c r="K563" s="407">
        <f t="shared" si="282"/>
        <v>0</v>
      </c>
      <c r="L563" s="407">
        <f t="shared" si="282"/>
        <v>0</v>
      </c>
      <c r="M563" s="310">
        <f t="shared" si="282"/>
        <v>0</v>
      </c>
      <c r="N563" s="310">
        <f t="shared" si="282"/>
        <v>0</v>
      </c>
      <c r="O563" s="310">
        <f t="shared" si="282"/>
        <v>0</v>
      </c>
      <c r="P563" s="310">
        <f t="shared" si="282"/>
        <v>0</v>
      </c>
      <c r="Q563" s="310">
        <f t="shared" si="282"/>
        <v>0</v>
      </c>
      <c r="R563" s="310">
        <f t="shared" si="282"/>
        <v>0</v>
      </c>
      <c r="S563" s="310">
        <f t="shared" si="282"/>
        <v>0</v>
      </c>
      <c r="T563" s="310">
        <f t="shared" si="282"/>
        <v>0</v>
      </c>
      <c r="U563" s="131">
        <f t="shared" ref="U563:U643" si="283">G563+K563+M563+O563+Q563+S563+H563</f>
        <v>164.4</v>
      </c>
      <c r="V563" s="131">
        <f t="shared" ref="V563:V643" si="284">I563+L563+N563+P563+R563+T563+J563</f>
        <v>164.4</v>
      </c>
    </row>
    <row r="564" spans="1:22" s="77" customFormat="1" ht="15.75" customHeight="1" outlineLevel="1" x14ac:dyDescent="0.25">
      <c r="A564" s="78" t="s">
        <v>91</v>
      </c>
      <c r="B564" s="79" t="s">
        <v>76</v>
      </c>
      <c r="C564" s="79" t="s">
        <v>90</v>
      </c>
      <c r="D564" s="79" t="s">
        <v>36</v>
      </c>
      <c r="E564" s="79" t="s">
        <v>365</v>
      </c>
      <c r="F564" s="79" t="s">
        <v>9</v>
      </c>
      <c r="G564" s="316">
        <f t="shared" ref="G564:T566" si="285">G565</f>
        <v>0</v>
      </c>
      <c r="H564" s="316">
        <f t="shared" si="285"/>
        <v>0</v>
      </c>
      <c r="I564" s="338">
        <f t="shared" si="285"/>
        <v>0</v>
      </c>
      <c r="J564" s="338">
        <f t="shared" si="285"/>
        <v>0</v>
      </c>
      <c r="K564" s="408">
        <f t="shared" si="285"/>
        <v>0</v>
      </c>
      <c r="L564" s="408">
        <f t="shared" si="285"/>
        <v>0</v>
      </c>
      <c r="M564" s="322">
        <f t="shared" si="285"/>
        <v>0</v>
      </c>
      <c r="N564" s="322">
        <f t="shared" si="285"/>
        <v>0</v>
      </c>
      <c r="O564" s="312">
        <f t="shared" si="285"/>
        <v>0</v>
      </c>
      <c r="P564" s="312">
        <f t="shared" si="285"/>
        <v>0</v>
      </c>
      <c r="Q564" s="322">
        <f t="shared" si="285"/>
        <v>0</v>
      </c>
      <c r="R564" s="322">
        <f t="shared" si="285"/>
        <v>0</v>
      </c>
      <c r="S564" s="312">
        <f t="shared" si="285"/>
        <v>0</v>
      </c>
      <c r="T564" s="312">
        <f t="shared" si="285"/>
        <v>0</v>
      </c>
      <c r="U564" s="132">
        <f t="shared" si="283"/>
        <v>0</v>
      </c>
      <c r="V564" s="132">
        <f t="shared" si="284"/>
        <v>0</v>
      </c>
    </row>
    <row r="565" spans="1:22" s="77" customFormat="1" ht="31.5" customHeight="1" outlineLevel="1" x14ac:dyDescent="0.25">
      <c r="A565" s="78" t="s">
        <v>784</v>
      </c>
      <c r="B565" s="79" t="s">
        <v>76</v>
      </c>
      <c r="C565" s="79" t="s">
        <v>90</v>
      </c>
      <c r="D565" s="79" t="s">
        <v>36</v>
      </c>
      <c r="E565" s="79" t="s">
        <v>380</v>
      </c>
      <c r="F565" s="79" t="s">
        <v>9</v>
      </c>
      <c r="G565" s="316">
        <f t="shared" si="285"/>
        <v>0</v>
      </c>
      <c r="H565" s="316">
        <f t="shared" si="285"/>
        <v>0</v>
      </c>
      <c r="I565" s="338">
        <f t="shared" si="285"/>
        <v>0</v>
      </c>
      <c r="J565" s="338">
        <f t="shared" si="285"/>
        <v>0</v>
      </c>
      <c r="K565" s="408">
        <f t="shared" si="285"/>
        <v>0</v>
      </c>
      <c r="L565" s="408">
        <f t="shared" si="285"/>
        <v>0</v>
      </c>
      <c r="M565" s="322">
        <f t="shared" si="285"/>
        <v>0</v>
      </c>
      <c r="N565" s="322">
        <f t="shared" si="285"/>
        <v>0</v>
      </c>
      <c r="O565" s="312">
        <f t="shared" si="285"/>
        <v>0</v>
      </c>
      <c r="P565" s="312">
        <f t="shared" si="285"/>
        <v>0</v>
      </c>
      <c r="Q565" s="322">
        <f t="shared" si="285"/>
        <v>0</v>
      </c>
      <c r="R565" s="322">
        <f t="shared" si="285"/>
        <v>0</v>
      </c>
      <c r="S565" s="312">
        <f t="shared" si="285"/>
        <v>0</v>
      </c>
      <c r="T565" s="312">
        <f t="shared" si="285"/>
        <v>0</v>
      </c>
      <c r="U565" s="132">
        <f t="shared" si="283"/>
        <v>0</v>
      </c>
      <c r="V565" s="132">
        <f t="shared" si="284"/>
        <v>0</v>
      </c>
    </row>
    <row r="566" spans="1:22" s="77" customFormat="1" ht="31.5" customHeight="1" outlineLevel="1" x14ac:dyDescent="0.25">
      <c r="A566" s="78" t="s">
        <v>52</v>
      </c>
      <c r="B566" s="79" t="s">
        <v>76</v>
      </c>
      <c r="C566" s="79" t="s">
        <v>90</v>
      </c>
      <c r="D566" s="79" t="s">
        <v>36</v>
      </c>
      <c r="E566" s="79" t="s">
        <v>394</v>
      </c>
      <c r="F566" s="79" t="s">
        <v>9</v>
      </c>
      <c r="G566" s="316">
        <f t="shared" si="285"/>
        <v>0</v>
      </c>
      <c r="H566" s="316">
        <f t="shared" si="285"/>
        <v>0</v>
      </c>
      <c r="I566" s="338">
        <f t="shared" si="285"/>
        <v>0</v>
      </c>
      <c r="J566" s="338">
        <f t="shared" si="285"/>
        <v>0</v>
      </c>
      <c r="K566" s="408">
        <f t="shared" si="285"/>
        <v>0</v>
      </c>
      <c r="L566" s="408">
        <f t="shared" si="285"/>
        <v>0</v>
      </c>
      <c r="M566" s="322">
        <f t="shared" si="285"/>
        <v>0</v>
      </c>
      <c r="N566" s="322">
        <f t="shared" si="285"/>
        <v>0</v>
      </c>
      <c r="O566" s="312">
        <f t="shared" si="285"/>
        <v>0</v>
      </c>
      <c r="P566" s="312">
        <f t="shared" si="285"/>
        <v>0</v>
      </c>
      <c r="Q566" s="322">
        <f t="shared" si="285"/>
        <v>0</v>
      </c>
      <c r="R566" s="322">
        <f t="shared" si="285"/>
        <v>0</v>
      </c>
      <c r="S566" s="312">
        <f t="shared" si="285"/>
        <v>0</v>
      </c>
      <c r="T566" s="312">
        <f t="shared" si="285"/>
        <v>0</v>
      </c>
      <c r="U566" s="132">
        <f t="shared" si="283"/>
        <v>0</v>
      </c>
      <c r="V566" s="132">
        <f t="shared" si="284"/>
        <v>0</v>
      </c>
    </row>
    <row r="567" spans="1:22" s="77" customFormat="1" ht="31.5" customHeight="1" outlineLevel="1" x14ac:dyDescent="0.25">
      <c r="A567" s="78" t="s">
        <v>92</v>
      </c>
      <c r="B567" s="79" t="s">
        <v>76</v>
      </c>
      <c r="C567" s="79" t="s">
        <v>90</v>
      </c>
      <c r="D567" s="79" t="s">
        <v>36</v>
      </c>
      <c r="E567" s="79" t="s">
        <v>444</v>
      </c>
      <c r="F567" s="79" t="s">
        <v>9</v>
      </c>
      <c r="G567" s="316">
        <f t="shared" ref="G567:T567" si="286">G569+G568</f>
        <v>0</v>
      </c>
      <c r="H567" s="316">
        <f>H569+H568</f>
        <v>0</v>
      </c>
      <c r="I567" s="338">
        <f t="shared" si="286"/>
        <v>0</v>
      </c>
      <c r="J567" s="338">
        <f>J569+J568</f>
        <v>0</v>
      </c>
      <c r="K567" s="408">
        <f t="shared" si="286"/>
        <v>0</v>
      </c>
      <c r="L567" s="408">
        <f t="shared" si="286"/>
        <v>0</v>
      </c>
      <c r="M567" s="322">
        <f t="shared" si="286"/>
        <v>0</v>
      </c>
      <c r="N567" s="322">
        <f t="shared" si="286"/>
        <v>0</v>
      </c>
      <c r="O567" s="312">
        <f t="shared" si="286"/>
        <v>0</v>
      </c>
      <c r="P567" s="312">
        <f t="shared" si="286"/>
        <v>0</v>
      </c>
      <c r="Q567" s="322">
        <f t="shared" si="286"/>
        <v>0</v>
      </c>
      <c r="R567" s="322">
        <f t="shared" si="286"/>
        <v>0</v>
      </c>
      <c r="S567" s="312">
        <f t="shared" si="286"/>
        <v>0</v>
      </c>
      <c r="T567" s="312">
        <f t="shared" si="286"/>
        <v>0</v>
      </c>
      <c r="U567" s="132">
        <f t="shared" si="283"/>
        <v>0</v>
      </c>
      <c r="V567" s="132">
        <f t="shared" si="284"/>
        <v>0</v>
      </c>
    </row>
    <row r="568" spans="1:22" s="77" customFormat="1" ht="36.75" customHeight="1" outlineLevel="1" x14ac:dyDescent="0.25">
      <c r="A568" s="264" t="s">
        <v>124</v>
      </c>
      <c r="B568" s="265" t="s">
        <v>76</v>
      </c>
      <c r="C568" s="265" t="s">
        <v>90</v>
      </c>
      <c r="D568" s="265" t="s">
        <v>36</v>
      </c>
      <c r="E568" s="265" t="s">
        <v>444</v>
      </c>
      <c r="F568" s="265" t="s">
        <v>117</v>
      </c>
      <c r="G568" s="311"/>
      <c r="H568" s="311"/>
      <c r="I568" s="320"/>
      <c r="J568" s="320"/>
      <c r="K568" s="409"/>
      <c r="L568" s="409"/>
      <c r="M568" s="323"/>
      <c r="N568" s="323"/>
      <c r="O568" s="313"/>
      <c r="P568" s="313"/>
      <c r="Q568" s="323"/>
      <c r="R568" s="323"/>
      <c r="S568" s="313"/>
      <c r="T568" s="313"/>
      <c r="U568" s="131">
        <f t="shared" si="283"/>
        <v>0</v>
      </c>
      <c r="V568" s="131">
        <f t="shared" si="284"/>
        <v>0</v>
      </c>
    </row>
    <row r="569" spans="1:22" s="77" customFormat="1" ht="51.75" customHeight="1" outlineLevel="1" x14ac:dyDescent="0.25">
      <c r="A569" s="74" t="s">
        <v>813</v>
      </c>
      <c r="B569" s="75" t="s">
        <v>76</v>
      </c>
      <c r="C569" s="75" t="s">
        <v>90</v>
      </c>
      <c r="D569" s="75" t="s">
        <v>36</v>
      </c>
      <c r="E569" s="75" t="s">
        <v>444</v>
      </c>
      <c r="F569" s="75" t="s">
        <v>119</v>
      </c>
      <c r="G569" s="311"/>
      <c r="H569" s="311"/>
      <c r="I569" s="320"/>
      <c r="J569" s="320"/>
      <c r="K569" s="409"/>
      <c r="L569" s="409"/>
      <c r="M569" s="323"/>
      <c r="N569" s="323"/>
      <c r="O569" s="313"/>
      <c r="P569" s="313"/>
      <c r="Q569" s="323"/>
      <c r="R569" s="323"/>
      <c r="S569" s="313"/>
      <c r="T569" s="313"/>
      <c r="U569" s="131">
        <f t="shared" si="283"/>
        <v>0</v>
      </c>
      <c r="V569" s="131">
        <f t="shared" si="284"/>
        <v>0</v>
      </c>
    </row>
    <row r="570" spans="1:22" s="77" customFormat="1" ht="36.75" customHeight="1" outlineLevel="1" x14ac:dyDescent="0.25">
      <c r="A570" s="78" t="s">
        <v>93</v>
      </c>
      <c r="B570" s="79" t="s">
        <v>76</v>
      </c>
      <c r="C570" s="79" t="s">
        <v>90</v>
      </c>
      <c r="D570" s="79" t="s">
        <v>20</v>
      </c>
      <c r="E570" s="79" t="s">
        <v>365</v>
      </c>
      <c r="F570" s="79" t="s">
        <v>9</v>
      </c>
      <c r="G570" s="316">
        <f t="shared" ref="G570:T573" si="287">G571</f>
        <v>0</v>
      </c>
      <c r="H570" s="316">
        <f t="shared" si="287"/>
        <v>0</v>
      </c>
      <c r="I570" s="338">
        <f t="shared" si="287"/>
        <v>0</v>
      </c>
      <c r="J570" s="338">
        <f t="shared" si="287"/>
        <v>0</v>
      </c>
      <c r="K570" s="408">
        <f t="shared" si="287"/>
        <v>0</v>
      </c>
      <c r="L570" s="408">
        <f t="shared" si="287"/>
        <v>0</v>
      </c>
      <c r="M570" s="322">
        <f t="shared" si="287"/>
        <v>0</v>
      </c>
      <c r="N570" s="322">
        <f t="shared" si="287"/>
        <v>0</v>
      </c>
      <c r="O570" s="312">
        <f t="shared" si="287"/>
        <v>0</v>
      </c>
      <c r="P570" s="312">
        <f t="shared" si="287"/>
        <v>0</v>
      </c>
      <c r="Q570" s="322">
        <f t="shared" si="287"/>
        <v>0</v>
      </c>
      <c r="R570" s="322">
        <f t="shared" si="287"/>
        <v>0</v>
      </c>
      <c r="S570" s="312">
        <f t="shared" si="287"/>
        <v>0</v>
      </c>
      <c r="T570" s="312">
        <f t="shared" si="287"/>
        <v>0</v>
      </c>
      <c r="U570" s="132">
        <f t="shared" si="283"/>
        <v>0</v>
      </c>
      <c r="V570" s="132">
        <f t="shared" si="284"/>
        <v>0</v>
      </c>
    </row>
    <row r="571" spans="1:22" s="77" customFormat="1" ht="40.5" customHeight="1" outlineLevel="1" x14ac:dyDescent="0.25">
      <c r="A571" s="78" t="s">
        <v>784</v>
      </c>
      <c r="B571" s="79" t="s">
        <v>76</v>
      </c>
      <c r="C571" s="79" t="s">
        <v>90</v>
      </c>
      <c r="D571" s="79" t="s">
        <v>20</v>
      </c>
      <c r="E571" s="79" t="s">
        <v>380</v>
      </c>
      <c r="F571" s="79" t="s">
        <v>9</v>
      </c>
      <c r="G571" s="316">
        <f t="shared" si="287"/>
        <v>0</v>
      </c>
      <c r="H571" s="316">
        <f t="shared" si="287"/>
        <v>0</v>
      </c>
      <c r="I571" s="338">
        <f t="shared" si="287"/>
        <v>0</v>
      </c>
      <c r="J571" s="338">
        <f t="shared" si="287"/>
        <v>0</v>
      </c>
      <c r="K571" s="408">
        <f t="shared" si="287"/>
        <v>0</v>
      </c>
      <c r="L571" s="408">
        <f t="shared" si="287"/>
        <v>0</v>
      </c>
      <c r="M571" s="322">
        <f t="shared" si="287"/>
        <v>0</v>
      </c>
      <c r="N571" s="322">
        <f t="shared" si="287"/>
        <v>0</v>
      </c>
      <c r="O571" s="312">
        <f t="shared" si="287"/>
        <v>0</v>
      </c>
      <c r="P571" s="312">
        <f t="shared" si="287"/>
        <v>0</v>
      </c>
      <c r="Q571" s="322">
        <f t="shared" si="287"/>
        <v>0</v>
      </c>
      <c r="R571" s="322">
        <f t="shared" si="287"/>
        <v>0</v>
      </c>
      <c r="S571" s="312">
        <f t="shared" si="287"/>
        <v>0</v>
      </c>
      <c r="T571" s="312">
        <f t="shared" si="287"/>
        <v>0</v>
      </c>
      <c r="U571" s="132">
        <f t="shared" si="283"/>
        <v>0</v>
      </c>
      <c r="V571" s="132">
        <f t="shared" si="284"/>
        <v>0</v>
      </c>
    </row>
    <row r="572" spans="1:22" s="80" customFormat="1" ht="32.25" customHeight="1" outlineLevel="1" x14ac:dyDescent="0.25">
      <c r="A572" s="78" t="s">
        <v>52</v>
      </c>
      <c r="B572" s="79" t="s">
        <v>76</v>
      </c>
      <c r="C572" s="79" t="s">
        <v>90</v>
      </c>
      <c r="D572" s="79" t="s">
        <v>20</v>
      </c>
      <c r="E572" s="79" t="s">
        <v>394</v>
      </c>
      <c r="F572" s="79" t="s">
        <v>9</v>
      </c>
      <c r="G572" s="316">
        <f t="shared" si="287"/>
        <v>0</v>
      </c>
      <c r="H572" s="316">
        <f t="shared" si="287"/>
        <v>0</v>
      </c>
      <c r="I572" s="338">
        <f t="shared" si="287"/>
        <v>0</v>
      </c>
      <c r="J572" s="338">
        <f t="shared" si="287"/>
        <v>0</v>
      </c>
      <c r="K572" s="408">
        <f t="shared" si="287"/>
        <v>0</v>
      </c>
      <c r="L572" s="408">
        <f t="shared" si="287"/>
        <v>0</v>
      </c>
      <c r="M572" s="322">
        <f t="shared" si="287"/>
        <v>0</v>
      </c>
      <c r="N572" s="322">
        <f t="shared" si="287"/>
        <v>0</v>
      </c>
      <c r="O572" s="312">
        <f t="shared" si="287"/>
        <v>0</v>
      </c>
      <c r="P572" s="312">
        <f t="shared" si="287"/>
        <v>0</v>
      </c>
      <c r="Q572" s="322">
        <f t="shared" si="287"/>
        <v>0</v>
      </c>
      <c r="R572" s="322">
        <f t="shared" si="287"/>
        <v>0</v>
      </c>
      <c r="S572" s="312">
        <f t="shared" si="287"/>
        <v>0</v>
      </c>
      <c r="T572" s="312">
        <f t="shared" si="287"/>
        <v>0</v>
      </c>
      <c r="U572" s="132">
        <f t="shared" si="283"/>
        <v>0</v>
      </c>
      <c r="V572" s="132">
        <f t="shared" si="284"/>
        <v>0</v>
      </c>
    </row>
    <row r="573" spans="1:22" s="80" customFormat="1" ht="35.25" customHeight="1" outlineLevel="1" x14ac:dyDescent="0.25">
      <c r="A573" s="78" t="s">
        <v>92</v>
      </c>
      <c r="B573" s="79" t="s">
        <v>76</v>
      </c>
      <c r="C573" s="79" t="s">
        <v>90</v>
      </c>
      <c r="D573" s="79" t="s">
        <v>20</v>
      </c>
      <c r="E573" s="79" t="s">
        <v>444</v>
      </c>
      <c r="F573" s="79" t="s">
        <v>9</v>
      </c>
      <c r="G573" s="316">
        <f t="shared" si="287"/>
        <v>0</v>
      </c>
      <c r="H573" s="316">
        <f t="shared" si="287"/>
        <v>0</v>
      </c>
      <c r="I573" s="338">
        <f t="shared" si="287"/>
        <v>0</v>
      </c>
      <c r="J573" s="338">
        <f t="shared" si="287"/>
        <v>0</v>
      </c>
      <c r="K573" s="408">
        <f t="shared" si="287"/>
        <v>0</v>
      </c>
      <c r="L573" s="408">
        <f t="shared" si="287"/>
        <v>0</v>
      </c>
      <c r="M573" s="322">
        <f t="shared" si="287"/>
        <v>0</v>
      </c>
      <c r="N573" s="322">
        <f t="shared" si="287"/>
        <v>0</v>
      </c>
      <c r="O573" s="312">
        <f t="shared" si="287"/>
        <v>0</v>
      </c>
      <c r="P573" s="312">
        <f t="shared" si="287"/>
        <v>0</v>
      </c>
      <c r="Q573" s="322">
        <f t="shared" si="287"/>
        <v>0</v>
      </c>
      <c r="R573" s="322">
        <f t="shared" si="287"/>
        <v>0</v>
      </c>
      <c r="S573" s="312">
        <f t="shared" si="287"/>
        <v>0</v>
      </c>
      <c r="T573" s="312">
        <f t="shared" si="287"/>
        <v>0</v>
      </c>
      <c r="U573" s="132">
        <f t="shared" si="283"/>
        <v>0</v>
      </c>
      <c r="V573" s="132">
        <f t="shared" si="284"/>
        <v>0</v>
      </c>
    </row>
    <row r="574" spans="1:22" s="80" customFormat="1" ht="37.5" customHeight="1" outlineLevel="1" x14ac:dyDescent="0.25">
      <c r="A574" s="264" t="s">
        <v>124</v>
      </c>
      <c r="B574" s="265" t="s">
        <v>76</v>
      </c>
      <c r="C574" s="265" t="s">
        <v>90</v>
      </c>
      <c r="D574" s="265" t="s">
        <v>20</v>
      </c>
      <c r="E574" s="265" t="s">
        <v>444</v>
      </c>
      <c r="F574" s="265" t="s">
        <v>117</v>
      </c>
      <c r="G574" s="311"/>
      <c r="H574" s="342"/>
      <c r="I574" s="343"/>
      <c r="J574" s="343"/>
      <c r="K574" s="409"/>
      <c r="L574" s="409"/>
      <c r="M574" s="321"/>
      <c r="N574" s="323"/>
      <c r="O574" s="313"/>
      <c r="P574" s="313"/>
      <c r="Q574" s="323"/>
      <c r="R574" s="323"/>
      <c r="S574" s="313"/>
      <c r="T574" s="313"/>
      <c r="U574" s="131">
        <f t="shared" si="283"/>
        <v>0</v>
      </c>
      <c r="V574" s="131">
        <f t="shared" si="284"/>
        <v>0</v>
      </c>
    </row>
    <row r="575" spans="1:22" s="80" customFormat="1" ht="37.5" customHeight="1" outlineLevel="1" x14ac:dyDescent="0.25">
      <c r="A575" s="268" t="s">
        <v>1090</v>
      </c>
      <c r="B575" s="79" t="s">
        <v>76</v>
      </c>
      <c r="C575" s="79" t="s">
        <v>90</v>
      </c>
      <c r="D575" s="79" t="s">
        <v>58</v>
      </c>
      <c r="E575" s="79" t="s">
        <v>365</v>
      </c>
      <c r="F575" s="79" t="s">
        <v>9</v>
      </c>
      <c r="G575" s="316">
        <f>G576</f>
        <v>0</v>
      </c>
      <c r="H575" s="316">
        <f t="shared" ref="H575:T576" si="288">H576</f>
        <v>164.4</v>
      </c>
      <c r="I575" s="316">
        <f t="shared" si="288"/>
        <v>0</v>
      </c>
      <c r="J575" s="316">
        <f t="shared" si="288"/>
        <v>164.4</v>
      </c>
      <c r="K575" s="408">
        <f t="shared" si="288"/>
        <v>0</v>
      </c>
      <c r="L575" s="408">
        <f t="shared" si="288"/>
        <v>0</v>
      </c>
      <c r="M575" s="312">
        <f t="shared" si="288"/>
        <v>0</v>
      </c>
      <c r="N575" s="312">
        <f t="shared" si="288"/>
        <v>0</v>
      </c>
      <c r="O575" s="312">
        <f t="shared" si="288"/>
        <v>0</v>
      </c>
      <c r="P575" s="312">
        <f t="shared" si="288"/>
        <v>0</v>
      </c>
      <c r="Q575" s="312">
        <f t="shared" si="288"/>
        <v>0</v>
      </c>
      <c r="R575" s="312">
        <f t="shared" si="288"/>
        <v>0</v>
      </c>
      <c r="S575" s="312">
        <f t="shared" si="288"/>
        <v>0</v>
      </c>
      <c r="T575" s="312">
        <f t="shared" si="288"/>
        <v>0</v>
      </c>
      <c r="U575" s="132">
        <f t="shared" si="283"/>
        <v>164.4</v>
      </c>
      <c r="V575" s="132">
        <f t="shared" si="284"/>
        <v>164.4</v>
      </c>
    </row>
    <row r="576" spans="1:22" s="80" customFormat="1" ht="37.5" customHeight="1" outlineLevel="1" x14ac:dyDescent="0.25">
      <c r="A576" s="268" t="s">
        <v>784</v>
      </c>
      <c r="B576" s="79" t="s">
        <v>76</v>
      </c>
      <c r="C576" s="79" t="s">
        <v>90</v>
      </c>
      <c r="D576" s="79" t="s">
        <v>58</v>
      </c>
      <c r="E576" s="79" t="s">
        <v>380</v>
      </c>
      <c r="F576" s="79" t="s">
        <v>9</v>
      </c>
      <c r="G576" s="316">
        <f>G577</f>
        <v>0</v>
      </c>
      <c r="H576" s="316">
        <f t="shared" si="288"/>
        <v>164.4</v>
      </c>
      <c r="I576" s="316">
        <f t="shared" si="288"/>
        <v>0</v>
      </c>
      <c r="J576" s="316">
        <f t="shared" si="288"/>
        <v>164.4</v>
      </c>
      <c r="K576" s="408">
        <f t="shared" si="288"/>
        <v>0</v>
      </c>
      <c r="L576" s="408">
        <f t="shared" si="288"/>
        <v>0</v>
      </c>
      <c r="M576" s="312">
        <f t="shared" si="288"/>
        <v>0</v>
      </c>
      <c r="N576" s="312">
        <f t="shared" si="288"/>
        <v>0</v>
      </c>
      <c r="O576" s="312">
        <f t="shared" si="288"/>
        <v>0</v>
      </c>
      <c r="P576" s="312">
        <f t="shared" si="288"/>
        <v>0</v>
      </c>
      <c r="Q576" s="312">
        <f t="shared" si="288"/>
        <v>0</v>
      </c>
      <c r="R576" s="312">
        <f t="shared" si="288"/>
        <v>0</v>
      </c>
      <c r="S576" s="312">
        <f t="shared" si="288"/>
        <v>0</v>
      </c>
      <c r="T576" s="312">
        <f t="shared" si="288"/>
        <v>0</v>
      </c>
      <c r="U576" s="132">
        <f t="shared" si="283"/>
        <v>164.4</v>
      </c>
      <c r="V576" s="132">
        <f t="shared" si="284"/>
        <v>164.4</v>
      </c>
    </row>
    <row r="577" spans="1:22" s="80" customFormat="1" ht="37.5" customHeight="1" outlineLevel="1" x14ac:dyDescent="0.25">
      <c r="A577" s="268" t="s">
        <v>52</v>
      </c>
      <c r="B577" s="79">
        <v>936</v>
      </c>
      <c r="C577" s="79" t="s">
        <v>90</v>
      </c>
      <c r="D577" s="79" t="s">
        <v>58</v>
      </c>
      <c r="E577" s="79" t="s">
        <v>394</v>
      </c>
      <c r="F577" s="79" t="s">
        <v>9</v>
      </c>
      <c r="G577" s="316">
        <f>G578+G580+G582</f>
        <v>0</v>
      </c>
      <c r="H577" s="316">
        <f t="shared" ref="H577:T577" si="289">H578+H580+H582</f>
        <v>164.4</v>
      </c>
      <c r="I577" s="316">
        <f t="shared" si="289"/>
        <v>0</v>
      </c>
      <c r="J577" s="316">
        <f t="shared" si="289"/>
        <v>164.4</v>
      </c>
      <c r="K577" s="408">
        <f t="shared" si="289"/>
        <v>0</v>
      </c>
      <c r="L577" s="408">
        <f t="shared" si="289"/>
        <v>0</v>
      </c>
      <c r="M577" s="312">
        <f t="shared" si="289"/>
        <v>0</v>
      </c>
      <c r="N577" s="312">
        <f t="shared" si="289"/>
        <v>0</v>
      </c>
      <c r="O577" s="312">
        <f t="shared" si="289"/>
        <v>0</v>
      </c>
      <c r="P577" s="312">
        <f t="shared" si="289"/>
        <v>0</v>
      </c>
      <c r="Q577" s="312">
        <f t="shared" si="289"/>
        <v>0</v>
      </c>
      <c r="R577" s="312">
        <f t="shared" si="289"/>
        <v>0</v>
      </c>
      <c r="S577" s="312">
        <f t="shared" si="289"/>
        <v>0</v>
      </c>
      <c r="T577" s="312">
        <f t="shared" si="289"/>
        <v>0</v>
      </c>
      <c r="U577" s="132">
        <f t="shared" si="283"/>
        <v>164.4</v>
      </c>
      <c r="V577" s="132">
        <f t="shared" si="284"/>
        <v>164.4</v>
      </c>
    </row>
    <row r="578" spans="1:22" s="80" customFormat="1" ht="37.5" customHeight="1" outlineLevel="1" x14ac:dyDescent="0.25">
      <c r="A578" s="268" t="s">
        <v>1089</v>
      </c>
      <c r="B578" s="79">
        <v>936</v>
      </c>
      <c r="C578" s="79" t="s">
        <v>90</v>
      </c>
      <c r="D578" s="79" t="s">
        <v>58</v>
      </c>
      <c r="E578" s="79" t="s">
        <v>1088</v>
      </c>
      <c r="F578" s="79" t="s">
        <v>9</v>
      </c>
      <c r="G578" s="316">
        <f>G579</f>
        <v>0</v>
      </c>
      <c r="H578" s="316">
        <f t="shared" ref="H578:T578" si="290">H579</f>
        <v>0</v>
      </c>
      <c r="I578" s="316">
        <f t="shared" si="290"/>
        <v>0</v>
      </c>
      <c r="J578" s="316">
        <f t="shared" si="290"/>
        <v>0</v>
      </c>
      <c r="K578" s="408">
        <f t="shared" si="290"/>
        <v>0</v>
      </c>
      <c r="L578" s="408">
        <f t="shared" si="290"/>
        <v>0</v>
      </c>
      <c r="M578" s="312">
        <f t="shared" si="290"/>
        <v>0</v>
      </c>
      <c r="N578" s="312">
        <f t="shared" si="290"/>
        <v>0</v>
      </c>
      <c r="O578" s="312">
        <f t="shared" si="290"/>
        <v>0</v>
      </c>
      <c r="P578" s="312">
        <f t="shared" si="290"/>
        <v>0</v>
      </c>
      <c r="Q578" s="312">
        <f t="shared" si="290"/>
        <v>0</v>
      </c>
      <c r="R578" s="312">
        <f t="shared" si="290"/>
        <v>0</v>
      </c>
      <c r="S578" s="312">
        <f t="shared" si="290"/>
        <v>0</v>
      </c>
      <c r="T578" s="312">
        <f t="shared" si="290"/>
        <v>0</v>
      </c>
      <c r="U578" s="132">
        <f t="shared" si="283"/>
        <v>0</v>
      </c>
      <c r="V578" s="132">
        <f t="shared" si="284"/>
        <v>0</v>
      </c>
    </row>
    <row r="579" spans="1:22" s="80" customFormat="1" ht="37.5" customHeight="1" outlineLevel="1" x14ac:dyDescent="0.25">
      <c r="A579" s="84" t="s">
        <v>124</v>
      </c>
      <c r="B579" s="75">
        <v>936</v>
      </c>
      <c r="C579" s="75" t="s">
        <v>90</v>
      </c>
      <c r="D579" s="75" t="s">
        <v>58</v>
      </c>
      <c r="E579" s="75" t="s">
        <v>1088</v>
      </c>
      <c r="F579" s="75" t="s">
        <v>117</v>
      </c>
      <c r="G579" s="311"/>
      <c r="H579" s="311"/>
      <c r="I579" s="311"/>
      <c r="J579" s="311"/>
      <c r="K579" s="407"/>
      <c r="L579" s="407"/>
      <c r="M579" s="310"/>
      <c r="N579" s="310"/>
      <c r="O579" s="310"/>
      <c r="P579" s="310"/>
      <c r="Q579" s="310"/>
      <c r="R579" s="310"/>
      <c r="S579" s="310"/>
      <c r="T579" s="310"/>
      <c r="U579" s="131">
        <f t="shared" si="283"/>
        <v>0</v>
      </c>
      <c r="V579" s="131">
        <f t="shared" si="284"/>
        <v>0</v>
      </c>
    </row>
    <row r="580" spans="1:22" s="80" customFormat="1" ht="37.5" customHeight="1" outlineLevel="1" x14ac:dyDescent="0.25">
      <c r="A580" s="268" t="s">
        <v>1089</v>
      </c>
      <c r="B580" s="79">
        <v>936</v>
      </c>
      <c r="C580" s="79" t="s">
        <v>90</v>
      </c>
      <c r="D580" s="79" t="s">
        <v>58</v>
      </c>
      <c r="E580" s="79" t="s">
        <v>1091</v>
      </c>
      <c r="F580" s="79" t="s">
        <v>9</v>
      </c>
      <c r="G580" s="316">
        <f>G581</f>
        <v>0</v>
      </c>
      <c r="H580" s="316">
        <f t="shared" ref="H580:T580" si="291">H581</f>
        <v>0</v>
      </c>
      <c r="I580" s="316">
        <f t="shared" si="291"/>
        <v>0</v>
      </c>
      <c r="J580" s="316">
        <f t="shared" si="291"/>
        <v>0</v>
      </c>
      <c r="K580" s="408">
        <f t="shared" si="291"/>
        <v>0</v>
      </c>
      <c r="L580" s="408">
        <f t="shared" si="291"/>
        <v>0</v>
      </c>
      <c r="M580" s="312">
        <f t="shared" si="291"/>
        <v>0</v>
      </c>
      <c r="N580" s="312">
        <f t="shared" si="291"/>
        <v>0</v>
      </c>
      <c r="O580" s="312">
        <f t="shared" si="291"/>
        <v>0</v>
      </c>
      <c r="P580" s="312">
        <f t="shared" si="291"/>
        <v>0</v>
      </c>
      <c r="Q580" s="312">
        <f t="shared" si="291"/>
        <v>0</v>
      </c>
      <c r="R580" s="312">
        <f t="shared" si="291"/>
        <v>0</v>
      </c>
      <c r="S580" s="312">
        <f t="shared" si="291"/>
        <v>0</v>
      </c>
      <c r="T580" s="312">
        <f t="shared" si="291"/>
        <v>0</v>
      </c>
      <c r="U580" s="132">
        <f t="shared" si="283"/>
        <v>0</v>
      </c>
      <c r="V580" s="132">
        <f t="shared" si="284"/>
        <v>0</v>
      </c>
    </row>
    <row r="581" spans="1:22" s="80" customFormat="1" ht="37.5" customHeight="1" outlineLevel="1" x14ac:dyDescent="0.25">
      <c r="A581" s="84" t="s">
        <v>124</v>
      </c>
      <c r="B581" s="75">
        <v>936</v>
      </c>
      <c r="C581" s="75" t="s">
        <v>90</v>
      </c>
      <c r="D581" s="75" t="s">
        <v>58</v>
      </c>
      <c r="E581" s="75" t="s">
        <v>1091</v>
      </c>
      <c r="F581" s="75" t="s">
        <v>117</v>
      </c>
      <c r="G581" s="311"/>
      <c r="H581" s="342"/>
      <c r="I581" s="343"/>
      <c r="J581" s="343"/>
      <c r="K581" s="409"/>
      <c r="L581" s="409"/>
      <c r="M581" s="321"/>
      <c r="N581" s="323"/>
      <c r="O581" s="313"/>
      <c r="P581" s="313"/>
      <c r="Q581" s="323"/>
      <c r="R581" s="323"/>
      <c r="S581" s="313"/>
      <c r="T581" s="313"/>
      <c r="U581" s="131">
        <f t="shared" si="283"/>
        <v>0</v>
      </c>
      <c r="V581" s="131">
        <f t="shared" si="284"/>
        <v>0</v>
      </c>
    </row>
    <row r="582" spans="1:22" s="80" customFormat="1" ht="37.5" customHeight="1" outlineLevel="1" x14ac:dyDescent="0.25">
      <c r="A582" s="268" t="s">
        <v>1089</v>
      </c>
      <c r="B582" s="79">
        <v>936</v>
      </c>
      <c r="C582" s="79" t="s">
        <v>90</v>
      </c>
      <c r="D582" s="79" t="s">
        <v>58</v>
      </c>
      <c r="E582" s="79" t="s">
        <v>1126</v>
      </c>
      <c r="F582" s="79" t="s">
        <v>9</v>
      </c>
      <c r="G582" s="311">
        <f t="shared" ref="G582:T582" si="292">G583</f>
        <v>0</v>
      </c>
      <c r="H582" s="311">
        <f t="shared" si="292"/>
        <v>164.4</v>
      </c>
      <c r="I582" s="311">
        <f t="shared" si="292"/>
        <v>0</v>
      </c>
      <c r="J582" s="311">
        <f t="shared" si="292"/>
        <v>164.4</v>
      </c>
      <c r="K582" s="407">
        <f t="shared" si="292"/>
        <v>0</v>
      </c>
      <c r="L582" s="407">
        <f t="shared" si="292"/>
        <v>0</v>
      </c>
      <c r="M582" s="310">
        <f t="shared" si="292"/>
        <v>0</v>
      </c>
      <c r="N582" s="310">
        <f t="shared" si="292"/>
        <v>0</v>
      </c>
      <c r="O582" s="310">
        <f t="shared" si="292"/>
        <v>0</v>
      </c>
      <c r="P582" s="310">
        <f t="shared" si="292"/>
        <v>0</v>
      </c>
      <c r="Q582" s="310">
        <f t="shared" si="292"/>
        <v>0</v>
      </c>
      <c r="R582" s="310">
        <f t="shared" si="292"/>
        <v>0</v>
      </c>
      <c r="S582" s="310">
        <f t="shared" si="292"/>
        <v>0</v>
      </c>
      <c r="T582" s="310">
        <f t="shared" si="292"/>
        <v>0</v>
      </c>
      <c r="U582" s="132">
        <f t="shared" si="283"/>
        <v>164.4</v>
      </c>
      <c r="V582" s="132">
        <f t="shared" si="284"/>
        <v>164.4</v>
      </c>
    </row>
    <row r="583" spans="1:22" s="80" customFormat="1" ht="37.5" customHeight="1" outlineLevel="1" x14ac:dyDescent="0.25">
      <c r="A583" s="84" t="s">
        <v>124</v>
      </c>
      <c r="B583" s="75">
        <v>936</v>
      </c>
      <c r="C583" s="75" t="s">
        <v>90</v>
      </c>
      <c r="D583" s="75" t="s">
        <v>58</v>
      </c>
      <c r="E583" s="75" t="s">
        <v>1126</v>
      </c>
      <c r="F583" s="75" t="s">
        <v>117</v>
      </c>
      <c r="G583" s="311"/>
      <c r="H583" s="311">
        <v>164.4</v>
      </c>
      <c r="I583" s="343"/>
      <c r="J583" s="320">
        <v>164.4</v>
      </c>
      <c r="K583" s="409"/>
      <c r="L583" s="409"/>
      <c r="M583" s="321"/>
      <c r="N583" s="323"/>
      <c r="O583" s="313"/>
      <c r="P583" s="313"/>
      <c r="Q583" s="323"/>
      <c r="R583" s="323"/>
      <c r="S583" s="313"/>
      <c r="T583" s="313"/>
      <c r="U583" s="131">
        <f t="shared" si="283"/>
        <v>164.4</v>
      </c>
      <c r="V583" s="131">
        <f t="shared" si="284"/>
        <v>164.4</v>
      </c>
    </row>
    <row r="584" spans="1:22" s="80" customFormat="1" ht="36.75" customHeight="1" outlineLevel="1" x14ac:dyDescent="0.25">
      <c r="A584" s="74" t="s">
        <v>30</v>
      </c>
      <c r="B584" s="75" t="s">
        <v>76</v>
      </c>
      <c r="C584" s="75" t="s">
        <v>31</v>
      </c>
      <c r="D584" s="75" t="s">
        <v>10</v>
      </c>
      <c r="E584" s="75" t="s">
        <v>365</v>
      </c>
      <c r="F584" s="75" t="s">
        <v>9</v>
      </c>
      <c r="G584" s="311">
        <f>G600+G593+G585</f>
        <v>73.61</v>
      </c>
      <c r="H584" s="311">
        <f t="shared" ref="H584:T584" si="293">H600+H593+H585</f>
        <v>20792.2</v>
      </c>
      <c r="I584" s="311">
        <f t="shared" si="293"/>
        <v>73.61</v>
      </c>
      <c r="J584" s="311">
        <f t="shared" si="293"/>
        <v>20792.2</v>
      </c>
      <c r="K584" s="407">
        <f t="shared" si="293"/>
        <v>0</v>
      </c>
      <c r="L584" s="407">
        <f t="shared" si="293"/>
        <v>0</v>
      </c>
      <c r="M584" s="311">
        <f t="shared" si="293"/>
        <v>0</v>
      </c>
      <c r="N584" s="311">
        <f t="shared" si="293"/>
        <v>0</v>
      </c>
      <c r="O584" s="311">
        <f t="shared" si="293"/>
        <v>0</v>
      </c>
      <c r="P584" s="311">
        <f t="shared" si="293"/>
        <v>0</v>
      </c>
      <c r="Q584" s="311">
        <f t="shared" si="293"/>
        <v>0</v>
      </c>
      <c r="R584" s="311">
        <f t="shared" si="293"/>
        <v>0</v>
      </c>
      <c r="S584" s="311">
        <f t="shared" si="293"/>
        <v>0</v>
      </c>
      <c r="T584" s="311">
        <f t="shared" si="293"/>
        <v>0</v>
      </c>
      <c r="U584" s="131">
        <f t="shared" si="283"/>
        <v>20865.810000000001</v>
      </c>
      <c r="V584" s="131">
        <f t="shared" si="284"/>
        <v>20865.810000000001</v>
      </c>
    </row>
    <row r="585" spans="1:22" s="77" customFormat="1" x14ac:dyDescent="0.25">
      <c r="A585" s="78" t="s">
        <v>516</v>
      </c>
      <c r="B585" s="79" t="s">
        <v>76</v>
      </c>
      <c r="C585" s="79" t="s">
        <v>31</v>
      </c>
      <c r="D585" s="79" t="s">
        <v>20</v>
      </c>
      <c r="E585" s="79" t="s">
        <v>365</v>
      </c>
      <c r="F585" s="79" t="s">
        <v>9</v>
      </c>
      <c r="G585" s="311">
        <f>G586</f>
        <v>0</v>
      </c>
      <c r="H585" s="311">
        <f t="shared" ref="H585:T588" si="294">H586</f>
        <v>20787.2</v>
      </c>
      <c r="I585" s="311">
        <f t="shared" si="294"/>
        <v>0</v>
      </c>
      <c r="J585" s="311">
        <f t="shared" si="294"/>
        <v>20787.2</v>
      </c>
      <c r="K585" s="407">
        <f t="shared" si="294"/>
        <v>0</v>
      </c>
      <c r="L585" s="407">
        <f t="shared" si="294"/>
        <v>0</v>
      </c>
      <c r="M585" s="311">
        <f t="shared" si="294"/>
        <v>0</v>
      </c>
      <c r="N585" s="311">
        <f t="shared" si="294"/>
        <v>0</v>
      </c>
      <c r="O585" s="311">
        <f t="shared" si="294"/>
        <v>0</v>
      </c>
      <c r="P585" s="311">
        <f t="shared" si="294"/>
        <v>0</v>
      </c>
      <c r="Q585" s="311">
        <f t="shared" si="294"/>
        <v>0</v>
      </c>
      <c r="R585" s="311">
        <f t="shared" si="294"/>
        <v>0</v>
      </c>
      <c r="S585" s="311">
        <f t="shared" si="294"/>
        <v>0</v>
      </c>
      <c r="T585" s="311">
        <f t="shared" si="294"/>
        <v>0</v>
      </c>
      <c r="U585" s="132">
        <f t="shared" si="283"/>
        <v>20787.2</v>
      </c>
      <c r="V585" s="132">
        <f t="shared" si="284"/>
        <v>20787.2</v>
      </c>
    </row>
    <row r="586" spans="1:22" s="80" customFormat="1" ht="35.25" customHeight="1" x14ac:dyDescent="0.25">
      <c r="A586" s="78" t="s">
        <v>784</v>
      </c>
      <c r="B586" s="79" t="s">
        <v>76</v>
      </c>
      <c r="C586" s="79" t="s">
        <v>31</v>
      </c>
      <c r="D586" s="79" t="s">
        <v>20</v>
      </c>
      <c r="E586" s="79" t="s">
        <v>380</v>
      </c>
      <c r="F586" s="79" t="s">
        <v>9</v>
      </c>
      <c r="G586" s="316">
        <f>G587</f>
        <v>0</v>
      </c>
      <c r="H586" s="316">
        <f t="shared" si="294"/>
        <v>20787.2</v>
      </c>
      <c r="I586" s="316">
        <f t="shared" si="294"/>
        <v>0</v>
      </c>
      <c r="J586" s="316">
        <f t="shared" si="294"/>
        <v>20787.2</v>
      </c>
      <c r="K586" s="408">
        <f t="shared" si="294"/>
        <v>0</v>
      </c>
      <c r="L586" s="408">
        <f t="shared" si="294"/>
        <v>0</v>
      </c>
      <c r="M586" s="316">
        <f t="shared" si="294"/>
        <v>0</v>
      </c>
      <c r="N586" s="316">
        <f t="shared" si="294"/>
        <v>0</v>
      </c>
      <c r="O586" s="316">
        <f t="shared" si="294"/>
        <v>0</v>
      </c>
      <c r="P586" s="316">
        <f t="shared" si="294"/>
        <v>0</v>
      </c>
      <c r="Q586" s="316">
        <f t="shared" si="294"/>
        <v>0</v>
      </c>
      <c r="R586" s="316">
        <f t="shared" si="294"/>
        <v>0</v>
      </c>
      <c r="S586" s="316">
        <f t="shared" si="294"/>
        <v>0</v>
      </c>
      <c r="T586" s="316">
        <f t="shared" si="294"/>
        <v>0</v>
      </c>
      <c r="U586" s="132">
        <f t="shared" si="283"/>
        <v>20787.2</v>
      </c>
      <c r="V586" s="132">
        <f t="shared" si="284"/>
        <v>20787.2</v>
      </c>
    </row>
    <row r="587" spans="1:22" s="80" customFormat="1" ht="35.25" customHeight="1" x14ac:dyDescent="0.25">
      <c r="A587" s="78" t="s">
        <v>15</v>
      </c>
      <c r="B587" s="79" t="s">
        <v>76</v>
      </c>
      <c r="C587" s="79" t="s">
        <v>31</v>
      </c>
      <c r="D587" s="79" t="s">
        <v>20</v>
      </c>
      <c r="E587" s="79" t="s">
        <v>433</v>
      </c>
      <c r="F587" s="79" t="s">
        <v>9</v>
      </c>
      <c r="G587" s="316">
        <f>G588</f>
        <v>0</v>
      </c>
      <c r="H587" s="316">
        <f t="shared" si="294"/>
        <v>20787.2</v>
      </c>
      <c r="I587" s="316">
        <f t="shared" si="294"/>
        <v>0</v>
      </c>
      <c r="J587" s="316">
        <f t="shared" si="294"/>
        <v>20787.2</v>
      </c>
      <c r="K587" s="408">
        <f t="shared" si="294"/>
        <v>0</v>
      </c>
      <c r="L587" s="408">
        <f t="shared" si="294"/>
        <v>0</v>
      </c>
      <c r="M587" s="316">
        <f t="shared" si="294"/>
        <v>0</v>
      </c>
      <c r="N587" s="316">
        <f t="shared" si="294"/>
        <v>0</v>
      </c>
      <c r="O587" s="316">
        <f t="shared" si="294"/>
        <v>0</v>
      </c>
      <c r="P587" s="316">
        <f t="shared" si="294"/>
        <v>0</v>
      </c>
      <c r="Q587" s="316">
        <f t="shared" si="294"/>
        <v>0</v>
      </c>
      <c r="R587" s="316">
        <f t="shared" si="294"/>
        <v>0</v>
      </c>
      <c r="S587" s="316">
        <f t="shared" si="294"/>
        <v>0</v>
      </c>
      <c r="T587" s="316">
        <f t="shared" si="294"/>
        <v>0</v>
      </c>
      <c r="U587" s="132"/>
      <c r="V587" s="132"/>
    </row>
    <row r="588" spans="1:22" s="80" customFormat="1" ht="31.5" x14ac:dyDescent="0.25">
      <c r="A588" s="78" t="s">
        <v>567</v>
      </c>
      <c r="B588" s="79" t="s">
        <v>76</v>
      </c>
      <c r="C588" s="79" t="s">
        <v>31</v>
      </c>
      <c r="D588" s="79" t="s">
        <v>20</v>
      </c>
      <c r="E588" s="79" t="s">
        <v>1150</v>
      </c>
      <c r="F588" s="79" t="s">
        <v>9</v>
      </c>
      <c r="G588" s="316">
        <f>G589</f>
        <v>0</v>
      </c>
      <c r="H588" s="316">
        <f t="shared" si="294"/>
        <v>20787.2</v>
      </c>
      <c r="I588" s="316">
        <f t="shared" si="294"/>
        <v>0</v>
      </c>
      <c r="J588" s="316">
        <f t="shared" si="294"/>
        <v>20787.2</v>
      </c>
      <c r="K588" s="408">
        <f t="shared" si="294"/>
        <v>0</v>
      </c>
      <c r="L588" s="408">
        <f t="shared" si="294"/>
        <v>0</v>
      </c>
      <c r="M588" s="316">
        <f t="shared" si="294"/>
        <v>0</v>
      </c>
      <c r="N588" s="316">
        <f t="shared" si="294"/>
        <v>0</v>
      </c>
      <c r="O588" s="316">
        <f t="shared" si="294"/>
        <v>0</v>
      </c>
      <c r="P588" s="316">
        <f t="shared" si="294"/>
        <v>0</v>
      </c>
      <c r="Q588" s="316">
        <f t="shared" si="294"/>
        <v>0</v>
      </c>
      <c r="R588" s="316">
        <f t="shared" si="294"/>
        <v>0</v>
      </c>
      <c r="S588" s="316">
        <f t="shared" si="294"/>
        <v>0</v>
      </c>
      <c r="T588" s="316">
        <f t="shared" si="294"/>
        <v>0</v>
      </c>
      <c r="U588" s="132">
        <f t="shared" si="283"/>
        <v>20787.2</v>
      </c>
      <c r="V588" s="132">
        <f t="shared" si="284"/>
        <v>20787.2</v>
      </c>
    </row>
    <row r="589" spans="1:22" s="80" customFormat="1" x14ac:dyDescent="0.25">
      <c r="A589" s="78" t="s">
        <v>38</v>
      </c>
      <c r="B589" s="79" t="s">
        <v>76</v>
      </c>
      <c r="C589" s="79" t="s">
        <v>31</v>
      </c>
      <c r="D589" s="79" t="s">
        <v>20</v>
      </c>
      <c r="E589" s="79" t="s">
        <v>1151</v>
      </c>
      <c r="F589" s="79" t="s">
        <v>9</v>
      </c>
      <c r="G589" s="316">
        <f>G590+G591+G592</f>
        <v>0</v>
      </c>
      <c r="H589" s="316">
        <f t="shared" ref="H589:T589" si="295">H590+H591+H592</f>
        <v>20787.2</v>
      </c>
      <c r="I589" s="316">
        <f t="shared" si="295"/>
        <v>0</v>
      </c>
      <c r="J589" s="316">
        <f t="shared" si="295"/>
        <v>20787.2</v>
      </c>
      <c r="K589" s="408">
        <f t="shared" si="295"/>
        <v>0</v>
      </c>
      <c r="L589" s="408">
        <f t="shared" si="295"/>
        <v>0</v>
      </c>
      <c r="M589" s="316">
        <f t="shared" si="295"/>
        <v>0</v>
      </c>
      <c r="N589" s="316">
        <f t="shared" si="295"/>
        <v>0</v>
      </c>
      <c r="O589" s="316">
        <f t="shared" si="295"/>
        <v>0</v>
      </c>
      <c r="P589" s="316">
        <f t="shared" si="295"/>
        <v>0</v>
      </c>
      <c r="Q589" s="316">
        <f t="shared" si="295"/>
        <v>0</v>
      </c>
      <c r="R589" s="316">
        <f t="shared" si="295"/>
        <v>0</v>
      </c>
      <c r="S589" s="316">
        <f t="shared" si="295"/>
        <v>0</v>
      </c>
      <c r="T589" s="316">
        <f t="shared" si="295"/>
        <v>0</v>
      </c>
      <c r="U589" s="132">
        <f t="shared" si="283"/>
        <v>20787.2</v>
      </c>
      <c r="V589" s="132">
        <f t="shared" si="284"/>
        <v>20787.2</v>
      </c>
    </row>
    <row r="590" spans="1:22" s="77" customFormat="1" ht="63" x14ac:dyDescent="0.25">
      <c r="A590" s="264" t="s">
        <v>115</v>
      </c>
      <c r="B590" s="75">
        <v>936</v>
      </c>
      <c r="C590" s="265" t="s">
        <v>31</v>
      </c>
      <c r="D590" s="265" t="s">
        <v>20</v>
      </c>
      <c r="E590" s="75" t="s">
        <v>1151</v>
      </c>
      <c r="F590" s="265" t="s">
        <v>113</v>
      </c>
      <c r="G590" s="311"/>
      <c r="H590" s="311">
        <v>18939</v>
      </c>
      <c r="I590" s="320"/>
      <c r="J590" s="320">
        <v>18939</v>
      </c>
      <c r="K590" s="409"/>
      <c r="L590" s="409"/>
      <c r="M590" s="323"/>
      <c r="N590" s="323"/>
      <c r="O590" s="313"/>
      <c r="P590" s="313"/>
      <c r="Q590" s="323"/>
      <c r="R590" s="323"/>
      <c r="S590" s="313"/>
      <c r="T590" s="313"/>
      <c r="U590" s="131">
        <f t="shared" si="283"/>
        <v>18939</v>
      </c>
      <c r="V590" s="131">
        <f t="shared" si="284"/>
        <v>18939</v>
      </c>
    </row>
    <row r="591" spans="1:22" s="77" customFormat="1" ht="31.5" x14ac:dyDescent="0.25">
      <c r="A591" s="264" t="s">
        <v>124</v>
      </c>
      <c r="B591" s="75">
        <v>936</v>
      </c>
      <c r="C591" s="265" t="s">
        <v>31</v>
      </c>
      <c r="D591" s="265" t="s">
        <v>20</v>
      </c>
      <c r="E591" s="75" t="s">
        <v>1151</v>
      </c>
      <c r="F591" s="265" t="s">
        <v>117</v>
      </c>
      <c r="G591" s="311"/>
      <c r="H591" s="311">
        <v>1826.5</v>
      </c>
      <c r="I591" s="320"/>
      <c r="J591" s="320">
        <v>1826.5</v>
      </c>
      <c r="K591" s="409"/>
      <c r="L591" s="407"/>
      <c r="M591" s="323"/>
      <c r="N591" s="323"/>
      <c r="O591" s="313"/>
      <c r="P591" s="313"/>
      <c r="Q591" s="323"/>
      <c r="R591" s="323"/>
      <c r="S591" s="313"/>
      <c r="T591" s="313"/>
      <c r="U591" s="131">
        <f t="shared" si="283"/>
        <v>1826.5</v>
      </c>
      <c r="V591" s="131">
        <f t="shared" si="284"/>
        <v>1826.5</v>
      </c>
    </row>
    <row r="592" spans="1:22" s="77" customFormat="1" x14ac:dyDescent="0.25">
      <c r="A592" s="74" t="s">
        <v>116</v>
      </c>
      <c r="B592" s="75" t="s">
        <v>76</v>
      </c>
      <c r="C592" s="75" t="s">
        <v>31</v>
      </c>
      <c r="D592" s="75" t="s">
        <v>20</v>
      </c>
      <c r="E592" s="75" t="s">
        <v>1151</v>
      </c>
      <c r="F592" s="75" t="s">
        <v>114</v>
      </c>
      <c r="G592" s="311"/>
      <c r="H592" s="311">
        <v>21.7</v>
      </c>
      <c r="I592" s="320"/>
      <c r="J592" s="320">
        <v>21.7</v>
      </c>
      <c r="K592" s="409"/>
      <c r="L592" s="409"/>
      <c r="M592" s="323"/>
      <c r="N592" s="323"/>
      <c r="O592" s="313"/>
      <c r="P592" s="313"/>
      <c r="Q592" s="323"/>
      <c r="R592" s="323"/>
      <c r="S592" s="313"/>
      <c r="T592" s="313"/>
      <c r="U592" s="131">
        <f t="shared" si="283"/>
        <v>21.7</v>
      </c>
      <c r="V592" s="131">
        <f t="shared" si="284"/>
        <v>21.7</v>
      </c>
    </row>
    <row r="593" spans="1:22" s="77" customFormat="1" ht="36.75" customHeight="1" outlineLevel="1" x14ac:dyDescent="0.25">
      <c r="A593" s="78" t="s">
        <v>57</v>
      </c>
      <c r="B593" s="79" t="s">
        <v>76</v>
      </c>
      <c r="C593" s="79" t="s">
        <v>31</v>
      </c>
      <c r="D593" s="79" t="s">
        <v>58</v>
      </c>
      <c r="E593" s="79" t="s">
        <v>365</v>
      </c>
      <c r="F593" s="79" t="s">
        <v>9</v>
      </c>
      <c r="G593" s="311">
        <f t="shared" ref="G593:T593" si="296">G594</f>
        <v>73.61</v>
      </c>
      <c r="H593" s="311">
        <f t="shared" si="296"/>
        <v>0</v>
      </c>
      <c r="I593" s="320">
        <f t="shared" si="296"/>
        <v>73.61</v>
      </c>
      <c r="J593" s="320">
        <f t="shared" si="296"/>
        <v>0</v>
      </c>
      <c r="K593" s="407">
        <f t="shared" si="296"/>
        <v>0</v>
      </c>
      <c r="L593" s="407">
        <f t="shared" si="296"/>
        <v>0</v>
      </c>
      <c r="M593" s="321">
        <f t="shared" si="296"/>
        <v>0</v>
      </c>
      <c r="N593" s="321">
        <f t="shared" si="296"/>
        <v>0</v>
      </c>
      <c r="O593" s="310">
        <f t="shared" si="296"/>
        <v>0</v>
      </c>
      <c r="P593" s="310">
        <f t="shared" si="296"/>
        <v>0</v>
      </c>
      <c r="Q593" s="321">
        <f t="shared" si="296"/>
        <v>0</v>
      </c>
      <c r="R593" s="321">
        <f t="shared" si="296"/>
        <v>0</v>
      </c>
      <c r="S593" s="310">
        <f t="shared" si="296"/>
        <v>0</v>
      </c>
      <c r="T593" s="310">
        <f t="shared" si="296"/>
        <v>0</v>
      </c>
      <c r="U593" s="132">
        <f t="shared" si="283"/>
        <v>73.61</v>
      </c>
      <c r="V593" s="132">
        <f t="shared" si="284"/>
        <v>73.61</v>
      </c>
    </row>
    <row r="594" spans="1:22" s="80" customFormat="1" ht="31.5" customHeight="1" outlineLevel="1" x14ac:dyDescent="0.25">
      <c r="A594" s="78" t="s">
        <v>784</v>
      </c>
      <c r="B594" s="79" t="s">
        <v>76</v>
      </c>
      <c r="C594" s="79" t="s">
        <v>31</v>
      </c>
      <c r="D594" s="79" t="s">
        <v>58</v>
      </c>
      <c r="E594" s="79" t="s">
        <v>380</v>
      </c>
      <c r="F594" s="79" t="s">
        <v>9</v>
      </c>
      <c r="G594" s="316">
        <f t="shared" ref="G594:T594" si="297">G595+G598</f>
        <v>73.61</v>
      </c>
      <c r="H594" s="316">
        <f>H595+H598</f>
        <v>0</v>
      </c>
      <c r="I594" s="338">
        <f t="shared" si="297"/>
        <v>73.61</v>
      </c>
      <c r="J594" s="338">
        <f>J595+J598</f>
        <v>0</v>
      </c>
      <c r="K594" s="408">
        <f t="shared" si="297"/>
        <v>0</v>
      </c>
      <c r="L594" s="408">
        <f t="shared" si="297"/>
        <v>0</v>
      </c>
      <c r="M594" s="322">
        <f t="shared" si="297"/>
        <v>0</v>
      </c>
      <c r="N594" s="322">
        <f t="shared" si="297"/>
        <v>0</v>
      </c>
      <c r="O594" s="312">
        <f t="shared" si="297"/>
        <v>0</v>
      </c>
      <c r="P594" s="312">
        <f t="shared" si="297"/>
        <v>0</v>
      </c>
      <c r="Q594" s="322">
        <f t="shared" si="297"/>
        <v>0</v>
      </c>
      <c r="R594" s="322">
        <f t="shared" si="297"/>
        <v>0</v>
      </c>
      <c r="S594" s="312">
        <f t="shared" si="297"/>
        <v>0</v>
      </c>
      <c r="T594" s="312">
        <f t="shared" si="297"/>
        <v>0</v>
      </c>
      <c r="U594" s="132">
        <f t="shared" si="283"/>
        <v>73.61</v>
      </c>
      <c r="V594" s="132">
        <f t="shared" si="284"/>
        <v>73.61</v>
      </c>
    </row>
    <row r="595" spans="1:22" s="77" customFormat="1" ht="47.25" customHeight="1" outlineLevel="1" x14ac:dyDescent="0.25">
      <c r="A595" s="78" t="s">
        <v>41</v>
      </c>
      <c r="B595" s="79" t="s">
        <v>76</v>
      </c>
      <c r="C595" s="79" t="s">
        <v>31</v>
      </c>
      <c r="D595" s="79" t="s">
        <v>58</v>
      </c>
      <c r="E595" s="79" t="s">
        <v>414</v>
      </c>
      <c r="F595" s="79" t="s">
        <v>9</v>
      </c>
      <c r="G595" s="316">
        <f t="shared" ref="G595:T595" si="298">G597</f>
        <v>72.87</v>
      </c>
      <c r="H595" s="316">
        <f>H597</f>
        <v>0</v>
      </c>
      <c r="I595" s="338">
        <f t="shared" si="298"/>
        <v>72.87</v>
      </c>
      <c r="J595" s="338">
        <f>J597</f>
        <v>0</v>
      </c>
      <c r="K595" s="408">
        <f t="shared" si="298"/>
        <v>0</v>
      </c>
      <c r="L595" s="408">
        <f t="shared" si="298"/>
        <v>0</v>
      </c>
      <c r="M595" s="322">
        <f t="shared" si="298"/>
        <v>0</v>
      </c>
      <c r="N595" s="322">
        <f t="shared" si="298"/>
        <v>0</v>
      </c>
      <c r="O595" s="312">
        <f t="shared" si="298"/>
        <v>0</v>
      </c>
      <c r="P595" s="312">
        <f t="shared" si="298"/>
        <v>0</v>
      </c>
      <c r="Q595" s="322">
        <f t="shared" si="298"/>
        <v>0</v>
      </c>
      <c r="R595" s="322">
        <f t="shared" si="298"/>
        <v>0</v>
      </c>
      <c r="S595" s="312">
        <f t="shared" si="298"/>
        <v>0</v>
      </c>
      <c r="T595" s="312">
        <f t="shared" si="298"/>
        <v>0</v>
      </c>
      <c r="U595" s="132">
        <f t="shared" si="283"/>
        <v>72.87</v>
      </c>
      <c r="V595" s="132">
        <f t="shared" si="284"/>
        <v>72.87</v>
      </c>
    </row>
    <row r="596" spans="1:22" s="77" customFormat="1" ht="31.5" customHeight="1" outlineLevel="1" x14ac:dyDescent="0.25">
      <c r="A596" s="78" t="s">
        <v>848</v>
      </c>
      <c r="B596" s="79" t="s">
        <v>76</v>
      </c>
      <c r="C596" s="79" t="s">
        <v>31</v>
      </c>
      <c r="D596" s="79" t="s">
        <v>58</v>
      </c>
      <c r="E596" s="79" t="s">
        <v>707</v>
      </c>
      <c r="F596" s="79" t="s">
        <v>9</v>
      </c>
      <c r="G596" s="316">
        <f t="shared" ref="G596:T596" si="299">G597</f>
        <v>72.87</v>
      </c>
      <c r="H596" s="316">
        <f t="shared" si="299"/>
        <v>0</v>
      </c>
      <c r="I596" s="338">
        <f t="shared" si="299"/>
        <v>72.87</v>
      </c>
      <c r="J596" s="338">
        <f t="shared" si="299"/>
        <v>0</v>
      </c>
      <c r="K596" s="408">
        <f t="shared" si="299"/>
        <v>0</v>
      </c>
      <c r="L596" s="408">
        <f t="shared" si="299"/>
        <v>0</v>
      </c>
      <c r="M596" s="322">
        <f t="shared" si="299"/>
        <v>0</v>
      </c>
      <c r="N596" s="322">
        <f t="shared" si="299"/>
        <v>0</v>
      </c>
      <c r="O596" s="312">
        <f t="shared" si="299"/>
        <v>0</v>
      </c>
      <c r="P596" s="312">
        <f t="shared" si="299"/>
        <v>0</v>
      </c>
      <c r="Q596" s="322">
        <f t="shared" si="299"/>
        <v>0</v>
      </c>
      <c r="R596" s="322">
        <f t="shared" si="299"/>
        <v>0</v>
      </c>
      <c r="S596" s="312">
        <f t="shared" si="299"/>
        <v>0</v>
      </c>
      <c r="T596" s="312">
        <f t="shared" si="299"/>
        <v>0</v>
      </c>
      <c r="U596" s="132">
        <f t="shared" si="283"/>
        <v>72.87</v>
      </c>
      <c r="V596" s="132">
        <f t="shared" si="284"/>
        <v>72.87</v>
      </c>
    </row>
    <row r="597" spans="1:22" s="80" customFormat="1" ht="31.5" customHeight="1" outlineLevel="1" x14ac:dyDescent="0.25">
      <c r="A597" s="74" t="s">
        <v>124</v>
      </c>
      <c r="B597" s="75" t="s">
        <v>76</v>
      </c>
      <c r="C597" s="75" t="s">
        <v>31</v>
      </c>
      <c r="D597" s="75" t="s">
        <v>58</v>
      </c>
      <c r="E597" s="75" t="s">
        <v>707</v>
      </c>
      <c r="F597" s="75" t="s">
        <v>117</v>
      </c>
      <c r="G597" s="311">
        <v>72.87</v>
      </c>
      <c r="H597" s="311"/>
      <c r="I597" s="320">
        <v>72.87</v>
      </c>
      <c r="J597" s="320"/>
      <c r="K597" s="409"/>
      <c r="L597" s="409"/>
      <c r="M597" s="323"/>
      <c r="N597" s="323"/>
      <c r="O597" s="313"/>
      <c r="P597" s="313"/>
      <c r="Q597" s="323"/>
      <c r="R597" s="323"/>
      <c r="S597" s="313"/>
      <c r="T597" s="313"/>
      <c r="U597" s="131">
        <f t="shared" si="283"/>
        <v>72.87</v>
      </c>
      <c r="V597" s="131">
        <f t="shared" si="284"/>
        <v>72.87</v>
      </c>
    </row>
    <row r="598" spans="1:22" s="80" customFormat="1" ht="31.5" customHeight="1" outlineLevel="1" x14ac:dyDescent="0.25">
      <c r="A598" s="78" t="s">
        <v>848</v>
      </c>
      <c r="B598" s="79" t="s">
        <v>76</v>
      </c>
      <c r="C598" s="79" t="s">
        <v>31</v>
      </c>
      <c r="D598" s="79" t="s">
        <v>58</v>
      </c>
      <c r="E598" s="79" t="s">
        <v>708</v>
      </c>
      <c r="F598" s="79" t="s">
        <v>9</v>
      </c>
      <c r="G598" s="316">
        <f t="shared" ref="G598:T598" si="300">G599</f>
        <v>0.74</v>
      </c>
      <c r="H598" s="316">
        <f t="shared" si="300"/>
        <v>0</v>
      </c>
      <c r="I598" s="338">
        <f t="shared" si="300"/>
        <v>0.74</v>
      </c>
      <c r="J598" s="338">
        <f t="shared" si="300"/>
        <v>0</v>
      </c>
      <c r="K598" s="408">
        <f t="shared" si="300"/>
        <v>0</v>
      </c>
      <c r="L598" s="408">
        <f t="shared" si="300"/>
        <v>0</v>
      </c>
      <c r="M598" s="322">
        <f t="shared" si="300"/>
        <v>0</v>
      </c>
      <c r="N598" s="322">
        <f t="shared" si="300"/>
        <v>0</v>
      </c>
      <c r="O598" s="312">
        <f t="shared" si="300"/>
        <v>0</v>
      </c>
      <c r="P598" s="312">
        <f t="shared" si="300"/>
        <v>0</v>
      </c>
      <c r="Q598" s="322">
        <f t="shared" si="300"/>
        <v>0</v>
      </c>
      <c r="R598" s="322">
        <f t="shared" si="300"/>
        <v>0</v>
      </c>
      <c r="S598" s="312">
        <f t="shared" si="300"/>
        <v>0</v>
      </c>
      <c r="T598" s="312">
        <f t="shared" si="300"/>
        <v>0</v>
      </c>
      <c r="U598" s="132">
        <f t="shared" si="283"/>
        <v>0.74</v>
      </c>
      <c r="V598" s="132">
        <f t="shared" si="284"/>
        <v>0.74</v>
      </c>
    </row>
    <row r="599" spans="1:22" s="80" customFormat="1" ht="31.5" customHeight="1" outlineLevel="1" x14ac:dyDescent="0.25">
      <c r="A599" s="74" t="s">
        <v>124</v>
      </c>
      <c r="B599" s="75" t="s">
        <v>76</v>
      </c>
      <c r="C599" s="75" t="s">
        <v>31</v>
      </c>
      <c r="D599" s="75" t="s">
        <v>58</v>
      </c>
      <c r="E599" s="75" t="s">
        <v>708</v>
      </c>
      <c r="F599" s="75" t="s">
        <v>117</v>
      </c>
      <c r="G599" s="311">
        <v>0.74</v>
      </c>
      <c r="H599" s="311"/>
      <c r="I599" s="320">
        <v>0.74</v>
      </c>
      <c r="J599" s="320"/>
      <c r="K599" s="409"/>
      <c r="L599" s="409"/>
      <c r="M599" s="323"/>
      <c r="N599" s="323"/>
      <c r="O599" s="313"/>
      <c r="P599" s="313"/>
      <c r="Q599" s="323"/>
      <c r="R599" s="323"/>
      <c r="S599" s="313"/>
      <c r="T599" s="313"/>
      <c r="U599" s="131">
        <f t="shared" si="283"/>
        <v>0.74</v>
      </c>
      <c r="V599" s="131">
        <f t="shared" si="284"/>
        <v>0.74</v>
      </c>
    </row>
    <row r="600" spans="1:22" s="80" customFormat="1" ht="15.75" customHeight="1" outlineLevel="1" x14ac:dyDescent="0.25">
      <c r="A600" s="78" t="s">
        <v>40</v>
      </c>
      <c r="B600" s="79" t="s">
        <v>76</v>
      </c>
      <c r="C600" s="79" t="s">
        <v>31</v>
      </c>
      <c r="D600" s="79" t="s">
        <v>31</v>
      </c>
      <c r="E600" s="79" t="s">
        <v>365</v>
      </c>
      <c r="F600" s="79" t="s">
        <v>9</v>
      </c>
      <c r="G600" s="316">
        <f t="shared" ref="G600:T601" si="301">G601</f>
        <v>0</v>
      </c>
      <c r="H600" s="316">
        <f t="shared" si="301"/>
        <v>5</v>
      </c>
      <c r="I600" s="338">
        <f t="shared" si="301"/>
        <v>0</v>
      </c>
      <c r="J600" s="338">
        <f t="shared" si="301"/>
        <v>5</v>
      </c>
      <c r="K600" s="408">
        <f t="shared" si="301"/>
        <v>0</v>
      </c>
      <c r="L600" s="408">
        <f t="shared" si="301"/>
        <v>0</v>
      </c>
      <c r="M600" s="322">
        <f t="shared" si="301"/>
        <v>0</v>
      </c>
      <c r="N600" s="322">
        <f t="shared" si="301"/>
        <v>0</v>
      </c>
      <c r="O600" s="312">
        <f t="shared" si="301"/>
        <v>0</v>
      </c>
      <c r="P600" s="312">
        <f t="shared" si="301"/>
        <v>0</v>
      </c>
      <c r="Q600" s="322">
        <f t="shared" si="301"/>
        <v>0</v>
      </c>
      <c r="R600" s="322">
        <f t="shared" si="301"/>
        <v>0</v>
      </c>
      <c r="S600" s="312">
        <f t="shared" si="301"/>
        <v>0</v>
      </c>
      <c r="T600" s="312">
        <f t="shared" si="301"/>
        <v>0</v>
      </c>
      <c r="U600" s="132">
        <f t="shared" si="283"/>
        <v>5</v>
      </c>
      <c r="V600" s="132">
        <f t="shared" si="284"/>
        <v>5</v>
      </c>
    </row>
    <row r="601" spans="1:22" s="80" customFormat="1" ht="31.5" customHeight="1" outlineLevel="1" x14ac:dyDescent="0.25">
      <c r="A601" s="78" t="s">
        <v>784</v>
      </c>
      <c r="B601" s="79" t="s">
        <v>76</v>
      </c>
      <c r="C601" s="79" t="s">
        <v>31</v>
      </c>
      <c r="D601" s="79" t="s">
        <v>31</v>
      </c>
      <c r="E601" s="79" t="s">
        <v>380</v>
      </c>
      <c r="F601" s="79" t="s">
        <v>9</v>
      </c>
      <c r="G601" s="316">
        <f t="shared" si="301"/>
        <v>0</v>
      </c>
      <c r="H601" s="316">
        <f t="shared" si="301"/>
        <v>5</v>
      </c>
      <c r="I601" s="338">
        <f t="shared" si="301"/>
        <v>0</v>
      </c>
      <c r="J601" s="338">
        <f t="shared" si="301"/>
        <v>5</v>
      </c>
      <c r="K601" s="408">
        <f t="shared" si="301"/>
        <v>0</v>
      </c>
      <c r="L601" s="408">
        <f t="shared" si="301"/>
        <v>0</v>
      </c>
      <c r="M601" s="322">
        <f t="shared" si="301"/>
        <v>0</v>
      </c>
      <c r="N601" s="322">
        <f t="shared" si="301"/>
        <v>0</v>
      </c>
      <c r="O601" s="312">
        <f t="shared" si="301"/>
        <v>0</v>
      </c>
      <c r="P601" s="312">
        <f t="shared" si="301"/>
        <v>0</v>
      </c>
      <c r="Q601" s="322">
        <f t="shared" si="301"/>
        <v>0</v>
      </c>
      <c r="R601" s="322">
        <f t="shared" si="301"/>
        <v>0</v>
      </c>
      <c r="S601" s="312">
        <f t="shared" si="301"/>
        <v>0</v>
      </c>
      <c r="T601" s="312">
        <f t="shared" si="301"/>
        <v>0</v>
      </c>
      <c r="U601" s="132">
        <f t="shared" si="283"/>
        <v>5</v>
      </c>
      <c r="V601" s="132">
        <f t="shared" si="284"/>
        <v>5</v>
      </c>
    </row>
    <row r="602" spans="1:22" s="77" customFormat="1" ht="15.75" customHeight="1" outlineLevel="1" x14ac:dyDescent="0.25">
      <c r="A602" s="78" t="s">
        <v>15</v>
      </c>
      <c r="B602" s="79" t="s">
        <v>76</v>
      </c>
      <c r="C602" s="79" t="s">
        <v>31</v>
      </c>
      <c r="D602" s="79" t="s">
        <v>31</v>
      </c>
      <c r="E602" s="79" t="s">
        <v>433</v>
      </c>
      <c r="F602" s="79" t="s">
        <v>9</v>
      </c>
      <c r="G602" s="316">
        <f t="shared" ref="G602:T602" si="302">G603+G605</f>
        <v>0</v>
      </c>
      <c r="H602" s="316">
        <f>H603+H605</f>
        <v>5</v>
      </c>
      <c r="I602" s="338">
        <f t="shared" si="302"/>
        <v>0</v>
      </c>
      <c r="J602" s="338">
        <f>J603+J605</f>
        <v>5</v>
      </c>
      <c r="K602" s="408">
        <f t="shared" si="302"/>
        <v>0</v>
      </c>
      <c r="L602" s="408">
        <f t="shared" si="302"/>
        <v>0</v>
      </c>
      <c r="M602" s="322">
        <f t="shared" si="302"/>
        <v>0</v>
      </c>
      <c r="N602" s="322">
        <f t="shared" si="302"/>
        <v>0</v>
      </c>
      <c r="O602" s="312">
        <f t="shared" si="302"/>
        <v>0</v>
      </c>
      <c r="P602" s="312">
        <f t="shared" si="302"/>
        <v>0</v>
      </c>
      <c r="Q602" s="322">
        <f t="shared" si="302"/>
        <v>0</v>
      </c>
      <c r="R602" s="322">
        <f t="shared" si="302"/>
        <v>0</v>
      </c>
      <c r="S602" s="312">
        <f t="shared" si="302"/>
        <v>0</v>
      </c>
      <c r="T602" s="312">
        <f t="shared" si="302"/>
        <v>0</v>
      </c>
      <c r="U602" s="132">
        <f t="shared" si="283"/>
        <v>5</v>
      </c>
      <c r="V602" s="132">
        <f t="shared" si="284"/>
        <v>5</v>
      </c>
    </row>
    <row r="603" spans="1:22" s="80" customFormat="1" ht="31.5" customHeight="1" outlineLevel="1" x14ac:dyDescent="0.25">
      <c r="A603" s="78" t="s">
        <v>209</v>
      </c>
      <c r="B603" s="79" t="s">
        <v>76</v>
      </c>
      <c r="C603" s="79" t="s">
        <v>31</v>
      </c>
      <c r="D603" s="79" t="s">
        <v>31</v>
      </c>
      <c r="E603" s="79" t="s">
        <v>445</v>
      </c>
      <c r="F603" s="79" t="s">
        <v>9</v>
      </c>
      <c r="G603" s="316">
        <f t="shared" ref="G603:T603" si="303">G604</f>
        <v>0</v>
      </c>
      <c r="H603" s="316">
        <f t="shared" si="303"/>
        <v>2.5</v>
      </c>
      <c r="I603" s="338">
        <f t="shared" si="303"/>
        <v>0</v>
      </c>
      <c r="J603" s="338">
        <f t="shared" si="303"/>
        <v>2.5</v>
      </c>
      <c r="K603" s="408">
        <f t="shared" si="303"/>
        <v>0</v>
      </c>
      <c r="L603" s="408">
        <f t="shared" si="303"/>
        <v>0</v>
      </c>
      <c r="M603" s="322">
        <f t="shared" si="303"/>
        <v>0</v>
      </c>
      <c r="N603" s="322">
        <f t="shared" si="303"/>
        <v>0</v>
      </c>
      <c r="O603" s="312">
        <f t="shared" si="303"/>
        <v>0</v>
      </c>
      <c r="P603" s="312">
        <f t="shared" si="303"/>
        <v>0</v>
      </c>
      <c r="Q603" s="322">
        <f t="shared" si="303"/>
        <v>0</v>
      </c>
      <c r="R603" s="322">
        <f t="shared" si="303"/>
        <v>0</v>
      </c>
      <c r="S603" s="312">
        <f t="shared" si="303"/>
        <v>0</v>
      </c>
      <c r="T603" s="312">
        <f t="shared" si="303"/>
        <v>0</v>
      </c>
      <c r="U603" s="132">
        <f t="shared" si="283"/>
        <v>2.5</v>
      </c>
      <c r="V603" s="132">
        <f t="shared" si="284"/>
        <v>2.5</v>
      </c>
    </row>
    <row r="604" spans="1:22" s="80" customFormat="1" ht="31.5" customHeight="1" outlineLevel="1" x14ac:dyDescent="0.25">
      <c r="A604" s="264" t="s">
        <v>124</v>
      </c>
      <c r="B604" s="265" t="s">
        <v>76</v>
      </c>
      <c r="C604" s="265" t="s">
        <v>31</v>
      </c>
      <c r="D604" s="265" t="s">
        <v>31</v>
      </c>
      <c r="E604" s="265" t="s">
        <v>445</v>
      </c>
      <c r="F604" s="265" t="s">
        <v>117</v>
      </c>
      <c r="G604" s="311"/>
      <c r="H604" s="311">
        <v>2.5</v>
      </c>
      <c r="I604" s="320"/>
      <c r="J604" s="320">
        <v>2.5</v>
      </c>
      <c r="K604" s="409"/>
      <c r="L604" s="409"/>
      <c r="M604" s="323"/>
      <c r="N604" s="323"/>
      <c r="O604" s="313"/>
      <c r="P604" s="313"/>
      <c r="Q604" s="323"/>
      <c r="R604" s="323"/>
      <c r="S604" s="313"/>
      <c r="T604" s="313"/>
      <c r="U604" s="131">
        <f t="shared" si="283"/>
        <v>2.5</v>
      </c>
      <c r="V604" s="131">
        <f t="shared" si="284"/>
        <v>2.5</v>
      </c>
    </row>
    <row r="605" spans="1:22" s="77" customFormat="1" ht="18.75" customHeight="1" outlineLevel="1" x14ac:dyDescent="0.25">
      <c r="A605" s="78" t="s">
        <v>131</v>
      </c>
      <c r="B605" s="79" t="s">
        <v>76</v>
      </c>
      <c r="C605" s="79" t="s">
        <v>31</v>
      </c>
      <c r="D605" s="79" t="s">
        <v>31</v>
      </c>
      <c r="E605" s="79" t="s">
        <v>446</v>
      </c>
      <c r="F605" s="79" t="s">
        <v>9</v>
      </c>
      <c r="G605" s="316">
        <f t="shared" ref="G605:T605" si="304">G606</f>
        <v>0</v>
      </c>
      <c r="H605" s="316">
        <f t="shared" si="304"/>
        <v>2.5</v>
      </c>
      <c r="I605" s="338">
        <f t="shared" si="304"/>
        <v>0</v>
      </c>
      <c r="J605" s="338">
        <f t="shared" si="304"/>
        <v>2.5</v>
      </c>
      <c r="K605" s="408">
        <f t="shared" si="304"/>
        <v>0</v>
      </c>
      <c r="L605" s="408">
        <f t="shared" si="304"/>
        <v>0</v>
      </c>
      <c r="M605" s="322">
        <f t="shared" si="304"/>
        <v>0</v>
      </c>
      <c r="N605" s="322">
        <f t="shared" si="304"/>
        <v>0</v>
      </c>
      <c r="O605" s="312">
        <f t="shared" si="304"/>
        <v>0</v>
      </c>
      <c r="P605" s="312">
        <f t="shared" si="304"/>
        <v>0</v>
      </c>
      <c r="Q605" s="322">
        <f t="shared" si="304"/>
        <v>0</v>
      </c>
      <c r="R605" s="322">
        <f t="shared" si="304"/>
        <v>0</v>
      </c>
      <c r="S605" s="312">
        <f t="shared" si="304"/>
        <v>0</v>
      </c>
      <c r="T605" s="312">
        <f t="shared" si="304"/>
        <v>0</v>
      </c>
      <c r="U605" s="132">
        <f t="shared" si="283"/>
        <v>2.5</v>
      </c>
      <c r="V605" s="132">
        <f t="shared" si="284"/>
        <v>2.5</v>
      </c>
    </row>
    <row r="606" spans="1:22" s="80" customFormat="1" ht="20.25" customHeight="1" outlineLevel="1" x14ac:dyDescent="0.25">
      <c r="A606" s="74" t="s">
        <v>124</v>
      </c>
      <c r="B606" s="75" t="s">
        <v>76</v>
      </c>
      <c r="C606" s="75" t="s">
        <v>31</v>
      </c>
      <c r="D606" s="75" t="s">
        <v>31</v>
      </c>
      <c r="E606" s="75" t="s">
        <v>446</v>
      </c>
      <c r="F606" s="75" t="s">
        <v>117</v>
      </c>
      <c r="G606" s="311"/>
      <c r="H606" s="311">
        <v>2.5</v>
      </c>
      <c r="I606" s="320"/>
      <c r="J606" s="320">
        <v>2.5</v>
      </c>
      <c r="K606" s="409"/>
      <c r="L606" s="409"/>
      <c r="M606" s="323"/>
      <c r="N606" s="323"/>
      <c r="O606" s="313"/>
      <c r="P606" s="313"/>
      <c r="Q606" s="323"/>
      <c r="R606" s="323"/>
      <c r="S606" s="313"/>
      <c r="T606" s="313"/>
      <c r="U606" s="131">
        <f t="shared" si="283"/>
        <v>2.5</v>
      </c>
      <c r="V606" s="131">
        <f t="shared" si="284"/>
        <v>2.5</v>
      </c>
    </row>
    <row r="607" spans="1:22" s="77" customFormat="1" x14ac:dyDescent="0.25">
      <c r="A607" s="74" t="s">
        <v>11</v>
      </c>
      <c r="B607" s="75" t="s">
        <v>76</v>
      </c>
      <c r="C607" s="75" t="s">
        <v>12</v>
      </c>
      <c r="D607" s="75" t="s">
        <v>10</v>
      </c>
      <c r="E607" s="75" t="s">
        <v>365</v>
      </c>
      <c r="F607" s="75" t="s">
        <v>9</v>
      </c>
      <c r="G607" s="311">
        <f t="shared" ref="G607:T609" si="305">G608</f>
        <v>128.9</v>
      </c>
      <c r="H607" s="311">
        <f t="shared" si="305"/>
        <v>51016.299999999996</v>
      </c>
      <c r="I607" s="320">
        <f t="shared" si="305"/>
        <v>128.4</v>
      </c>
      <c r="J607" s="320">
        <f t="shared" si="305"/>
        <v>51015</v>
      </c>
      <c r="K607" s="407">
        <f t="shared" si="305"/>
        <v>0</v>
      </c>
      <c r="L607" s="407">
        <f t="shared" si="305"/>
        <v>0</v>
      </c>
      <c r="M607" s="321">
        <f t="shared" si="305"/>
        <v>0</v>
      </c>
      <c r="N607" s="321">
        <f t="shared" si="305"/>
        <v>0</v>
      </c>
      <c r="O607" s="310">
        <f t="shared" si="305"/>
        <v>0</v>
      </c>
      <c r="P607" s="310">
        <f t="shared" si="305"/>
        <v>0</v>
      </c>
      <c r="Q607" s="321">
        <f t="shared" si="305"/>
        <v>0</v>
      </c>
      <c r="R607" s="321">
        <f t="shared" si="305"/>
        <v>0</v>
      </c>
      <c r="S607" s="310">
        <f t="shared" si="305"/>
        <v>0</v>
      </c>
      <c r="T607" s="310">
        <f t="shared" si="305"/>
        <v>0</v>
      </c>
      <c r="U607" s="131">
        <f t="shared" si="283"/>
        <v>51145.2</v>
      </c>
      <c r="V607" s="131">
        <f t="shared" si="284"/>
        <v>51143.4</v>
      </c>
    </row>
    <row r="608" spans="1:22" s="80" customFormat="1" x14ac:dyDescent="0.25">
      <c r="A608" s="78" t="s">
        <v>13</v>
      </c>
      <c r="B608" s="79" t="s">
        <v>76</v>
      </c>
      <c r="C608" s="79" t="s">
        <v>12</v>
      </c>
      <c r="D608" s="79" t="s">
        <v>14</v>
      </c>
      <c r="E608" s="79" t="s">
        <v>365</v>
      </c>
      <c r="F608" s="79" t="s">
        <v>9</v>
      </c>
      <c r="G608" s="316">
        <f t="shared" si="305"/>
        <v>128.9</v>
      </c>
      <c r="H608" s="316">
        <f t="shared" si="305"/>
        <v>51016.299999999996</v>
      </c>
      <c r="I608" s="338">
        <f t="shared" si="305"/>
        <v>128.4</v>
      </c>
      <c r="J608" s="338">
        <f t="shared" si="305"/>
        <v>51015</v>
      </c>
      <c r="K608" s="408">
        <f t="shared" si="305"/>
        <v>0</v>
      </c>
      <c r="L608" s="408">
        <f t="shared" si="305"/>
        <v>0</v>
      </c>
      <c r="M608" s="322">
        <f t="shared" si="305"/>
        <v>0</v>
      </c>
      <c r="N608" s="322">
        <f t="shared" si="305"/>
        <v>0</v>
      </c>
      <c r="O608" s="312">
        <f t="shared" si="305"/>
        <v>0</v>
      </c>
      <c r="P608" s="312">
        <f t="shared" si="305"/>
        <v>0</v>
      </c>
      <c r="Q608" s="322">
        <f t="shared" si="305"/>
        <v>0</v>
      </c>
      <c r="R608" s="322">
        <f t="shared" si="305"/>
        <v>0</v>
      </c>
      <c r="S608" s="312">
        <f t="shared" si="305"/>
        <v>0</v>
      </c>
      <c r="T608" s="312">
        <f t="shared" si="305"/>
        <v>0</v>
      </c>
      <c r="U608" s="132">
        <f t="shared" si="283"/>
        <v>51145.2</v>
      </c>
      <c r="V608" s="132">
        <f t="shared" si="284"/>
        <v>51143.4</v>
      </c>
    </row>
    <row r="609" spans="1:22" s="80" customFormat="1" ht="31.5" x14ac:dyDescent="0.25">
      <c r="A609" s="78" t="s">
        <v>784</v>
      </c>
      <c r="B609" s="79" t="s">
        <v>76</v>
      </c>
      <c r="C609" s="79" t="s">
        <v>12</v>
      </c>
      <c r="D609" s="79" t="s">
        <v>14</v>
      </c>
      <c r="E609" s="79" t="s">
        <v>380</v>
      </c>
      <c r="F609" s="79" t="s">
        <v>9</v>
      </c>
      <c r="G609" s="316">
        <f t="shared" si="305"/>
        <v>128.9</v>
      </c>
      <c r="H609" s="316">
        <f t="shared" si="305"/>
        <v>51016.299999999996</v>
      </c>
      <c r="I609" s="338">
        <f t="shared" si="305"/>
        <v>128.4</v>
      </c>
      <c r="J609" s="338">
        <f t="shared" si="305"/>
        <v>51015</v>
      </c>
      <c r="K609" s="408">
        <f t="shared" si="305"/>
        <v>0</v>
      </c>
      <c r="L609" s="408">
        <f t="shared" si="305"/>
        <v>0</v>
      </c>
      <c r="M609" s="322">
        <f t="shared" si="305"/>
        <v>0</v>
      </c>
      <c r="N609" s="322">
        <f t="shared" si="305"/>
        <v>0</v>
      </c>
      <c r="O609" s="312">
        <f t="shared" si="305"/>
        <v>0</v>
      </c>
      <c r="P609" s="312">
        <f t="shared" si="305"/>
        <v>0</v>
      </c>
      <c r="Q609" s="322">
        <f t="shared" si="305"/>
        <v>0</v>
      </c>
      <c r="R609" s="322">
        <f t="shared" si="305"/>
        <v>0</v>
      </c>
      <c r="S609" s="312">
        <f t="shared" si="305"/>
        <v>0</v>
      </c>
      <c r="T609" s="312">
        <f t="shared" si="305"/>
        <v>0</v>
      </c>
      <c r="U609" s="132">
        <f t="shared" si="283"/>
        <v>51145.2</v>
      </c>
      <c r="V609" s="132">
        <f t="shared" si="284"/>
        <v>51143.4</v>
      </c>
    </row>
    <row r="610" spans="1:22" s="77" customFormat="1" x14ac:dyDescent="0.25">
      <c r="A610" s="78" t="s">
        <v>15</v>
      </c>
      <c r="B610" s="79" t="s">
        <v>76</v>
      </c>
      <c r="C610" s="79" t="s">
        <v>12</v>
      </c>
      <c r="D610" s="79" t="s">
        <v>14</v>
      </c>
      <c r="E610" s="79" t="s">
        <v>433</v>
      </c>
      <c r="F610" s="79" t="s">
        <v>9</v>
      </c>
      <c r="G610" s="316">
        <f t="shared" ref="G610:T610" si="306">G617+G614+G619+G630+G611+G633+G635</f>
        <v>128.9</v>
      </c>
      <c r="H610" s="316">
        <f>H617+H614+H619+H630+H611+H633+H635</f>
        <v>51016.299999999996</v>
      </c>
      <c r="I610" s="338">
        <f t="shared" si="306"/>
        <v>128.4</v>
      </c>
      <c r="J610" s="338">
        <f>J617+J614+J619+J630+J611+J633+J635</f>
        <v>51015</v>
      </c>
      <c r="K610" s="408">
        <f t="shared" si="306"/>
        <v>0</v>
      </c>
      <c r="L610" s="408">
        <f t="shared" si="306"/>
        <v>0</v>
      </c>
      <c r="M610" s="322">
        <f t="shared" si="306"/>
        <v>0</v>
      </c>
      <c r="N610" s="322">
        <f t="shared" si="306"/>
        <v>0</v>
      </c>
      <c r="O610" s="312">
        <f t="shared" si="306"/>
        <v>0</v>
      </c>
      <c r="P610" s="312">
        <f t="shared" si="306"/>
        <v>0</v>
      </c>
      <c r="Q610" s="322">
        <f t="shared" si="306"/>
        <v>0</v>
      </c>
      <c r="R610" s="322">
        <f t="shared" si="306"/>
        <v>0</v>
      </c>
      <c r="S610" s="312">
        <f t="shared" si="306"/>
        <v>0</v>
      </c>
      <c r="T610" s="312">
        <f t="shared" si="306"/>
        <v>0</v>
      </c>
      <c r="U610" s="132">
        <f t="shared" si="283"/>
        <v>51145.2</v>
      </c>
      <c r="V610" s="132">
        <f t="shared" si="284"/>
        <v>51143.4</v>
      </c>
    </row>
    <row r="611" spans="1:22" s="80" customFormat="1" ht="47.25" customHeight="1" outlineLevel="1" x14ac:dyDescent="0.25">
      <c r="A611" s="78" t="s">
        <v>41</v>
      </c>
      <c r="B611" s="79" t="s">
        <v>76</v>
      </c>
      <c r="C611" s="79" t="s">
        <v>12</v>
      </c>
      <c r="D611" s="79" t="s">
        <v>14</v>
      </c>
      <c r="E611" s="79" t="s">
        <v>504</v>
      </c>
      <c r="F611" s="79" t="s">
        <v>9</v>
      </c>
      <c r="G611" s="316">
        <f t="shared" ref="G611:T612" si="307">G612</f>
        <v>0</v>
      </c>
      <c r="H611" s="316">
        <f t="shared" si="307"/>
        <v>0</v>
      </c>
      <c r="I611" s="338">
        <f t="shared" si="307"/>
        <v>0</v>
      </c>
      <c r="J611" s="338">
        <f t="shared" si="307"/>
        <v>0</v>
      </c>
      <c r="K611" s="408">
        <f t="shared" si="307"/>
        <v>0</v>
      </c>
      <c r="L611" s="408">
        <f t="shared" si="307"/>
        <v>0</v>
      </c>
      <c r="M611" s="322">
        <f t="shared" si="307"/>
        <v>0</v>
      </c>
      <c r="N611" s="322">
        <f t="shared" si="307"/>
        <v>0</v>
      </c>
      <c r="O611" s="312">
        <f t="shared" si="307"/>
        <v>0</v>
      </c>
      <c r="P611" s="312">
        <f t="shared" si="307"/>
        <v>0</v>
      </c>
      <c r="Q611" s="322">
        <f t="shared" si="307"/>
        <v>0</v>
      </c>
      <c r="R611" s="322">
        <f t="shared" si="307"/>
        <v>0</v>
      </c>
      <c r="S611" s="312">
        <f t="shared" si="307"/>
        <v>0</v>
      </c>
      <c r="T611" s="312">
        <f t="shared" si="307"/>
        <v>0</v>
      </c>
      <c r="U611" s="132">
        <f t="shared" si="283"/>
        <v>0</v>
      </c>
      <c r="V611" s="132">
        <f t="shared" si="284"/>
        <v>0</v>
      </c>
    </row>
    <row r="612" spans="1:22" s="77" customFormat="1" ht="31.5" customHeight="1" outlineLevel="1" x14ac:dyDescent="0.25">
      <c r="A612" s="78" t="s">
        <v>464</v>
      </c>
      <c r="B612" s="79" t="s">
        <v>76</v>
      </c>
      <c r="C612" s="79" t="s">
        <v>12</v>
      </c>
      <c r="D612" s="79" t="s">
        <v>14</v>
      </c>
      <c r="E612" s="79" t="s">
        <v>505</v>
      </c>
      <c r="F612" s="79" t="s">
        <v>9</v>
      </c>
      <c r="G612" s="316">
        <f t="shared" si="307"/>
        <v>0</v>
      </c>
      <c r="H612" s="316">
        <f t="shared" si="307"/>
        <v>0</v>
      </c>
      <c r="I612" s="338">
        <f t="shared" si="307"/>
        <v>0</v>
      </c>
      <c r="J612" s="338">
        <f t="shared" si="307"/>
        <v>0</v>
      </c>
      <c r="K612" s="408">
        <f t="shared" si="307"/>
        <v>0</v>
      </c>
      <c r="L612" s="408">
        <f t="shared" si="307"/>
        <v>0</v>
      </c>
      <c r="M612" s="322">
        <f t="shared" si="307"/>
        <v>0</v>
      </c>
      <c r="N612" s="322">
        <f t="shared" si="307"/>
        <v>0</v>
      </c>
      <c r="O612" s="312">
        <f t="shared" si="307"/>
        <v>0</v>
      </c>
      <c r="P612" s="312">
        <f t="shared" si="307"/>
        <v>0</v>
      </c>
      <c r="Q612" s="322">
        <f t="shared" si="307"/>
        <v>0</v>
      </c>
      <c r="R612" s="322">
        <f t="shared" si="307"/>
        <v>0</v>
      </c>
      <c r="S612" s="312">
        <f t="shared" si="307"/>
        <v>0</v>
      </c>
      <c r="T612" s="312">
        <f t="shared" si="307"/>
        <v>0</v>
      </c>
      <c r="U612" s="132">
        <f t="shared" si="283"/>
        <v>0</v>
      </c>
      <c r="V612" s="132">
        <f t="shared" si="284"/>
        <v>0</v>
      </c>
    </row>
    <row r="613" spans="1:22" s="80" customFormat="1" ht="31.5" customHeight="1" outlineLevel="1" x14ac:dyDescent="0.25">
      <c r="A613" s="74" t="s">
        <v>843</v>
      </c>
      <c r="B613" s="75" t="s">
        <v>76</v>
      </c>
      <c r="C613" s="75" t="s">
        <v>12</v>
      </c>
      <c r="D613" s="75" t="s">
        <v>14</v>
      </c>
      <c r="E613" s="75" t="s">
        <v>505</v>
      </c>
      <c r="F613" s="75" t="s">
        <v>490</v>
      </c>
      <c r="G613" s="311"/>
      <c r="H613" s="311"/>
      <c r="I613" s="320"/>
      <c r="J613" s="320"/>
      <c r="K613" s="409"/>
      <c r="L613" s="409"/>
      <c r="M613" s="323"/>
      <c r="N613" s="323"/>
      <c r="O613" s="313"/>
      <c r="P613" s="313"/>
      <c r="Q613" s="323"/>
      <c r="R613" s="323"/>
      <c r="S613" s="313"/>
      <c r="T613" s="313"/>
      <c r="U613" s="131">
        <f t="shared" si="283"/>
        <v>0</v>
      </c>
      <c r="V613" s="131">
        <f t="shared" si="284"/>
        <v>0</v>
      </c>
    </row>
    <row r="614" spans="1:22" s="77" customFormat="1" collapsed="1" x14ac:dyDescent="0.25">
      <c r="A614" s="78" t="s">
        <v>127</v>
      </c>
      <c r="B614" s="79" t="s">
        <v>76</v>
      </c>
      <c r="C614" s="79" t="s">
        <v>12</v>
      </c>
      <c r="D614" s="79" t="s">
        <v>14</v>
      </c>
      <c r="E614" s="79" t="s">
        <v>447</v>
      </c>
      <c r="F614" s="79" t="s">
        <v>9</v>
      </c>
      <c r="G614" s="316">
        <f t="shared" ref="G614:T615" si="308">G615</f>
        <v>0</v>
      </c>
      <c r="H614" s="316">
        <f t="shared" si="308"/>
        <v>3433.6</v>
      </c>
      <c r="I614" s="338">
        <f t="shared" si="308"/>
        <v>0</v>
      </c>
      <c r="J614" s="338">
        <f t="shared" si="308"/>
        <v>3433.6</v>
      </c>
      <c r="K614" s="408">
        <f t="shared" si="308"/>
        <v>0</v>
      </c>
      <c r="L614" s="408">
        <f t="shared" si="308"/>
        <v>0</v>
      </c>
      <c r="M614" s="322">
        <f t="shared" si="308"/>
        <v>0</v>
      </c>
      <c r="N614" s="322">
        <f t="shared" si="308"/>
        <v>0</v>
      </c>
      <c r="O614" s="312">
        <f t="shared" si="308"/>
        <v>0</v>
      </c>
      <c r="P614" s="312">
        <f t="shared" si="308"/>
        <v>0</v>
      </c>
      <c r="Q614" s="322">
        <f t="shared" si="308"/>
        <v>0</v>
      </c>
      <c r="R614" s="322">
        <f t="shared" si="308"/>
        <v>0</v>
      </c>
      <c r="S614" s="312">
        <f t="shared" si="308"/>
        <v>0</v>
      </c>
      <c r="T614" s="312">
        <f t="shared" si="308"/>
        <v>0</v>
      </c>
      <c r="U614" s="132">
        <f t="shared" si="283"/>
        <v>3433.6</v>
      </c>
      <c r="V614" s="132">
        <f t="shared" si="284"/>
        <v>3433.6</v>
      </c>
    </row>
    <row r="615" spans="1:22" s="77" customFormat="1" ht="31.5" x14ac:dyDescent="0.25">
      <c r="A615" s="78" t="s">
        <v>364</v>
      </c>
      <c r="B615" s="79" t="s">
        <v>76</v>
      </c>
      <c r="C615" s="79" t="s">
        <v>12</v>
      </c>
      <c r="D615" s="79" t="s">
        <v>14</v>
      </c>
      <c r="E615" s="79" t="s">
        <v>448</v>
      </c>
      <c r="F615" s="79" t="s">
        <v>9</v>
      </c>
      <c r="G615" s="316">
        <f t="shared" si="308"/>
        <v>0</v>
      </c>
      <c r="H615" s="316">
        <f t="shared" si="308"/>
        <v>3433.6</v>
      </c>
      <c r="I615" s="338">
        <f t="shared" si="308"/>
        <v>0</v>
      </c>
      <c r="J615" s="338">
        <f t="shared" si="308"/>
        <v>3433.6</v>
      </c>
      <c r="K615" s="408">
        <f t="shared" si="308"/>
        <v>0</v>
      </c>
      <c r="L615" s="408">
        <f t="shared" si="308"/>
        <v>0</v>
      </c>
      <c r="M615" s="322">
        <f t="shared" si="308"/>
        <v>0</v>
      </c>
      <c r="N615" s="322">
        <f t="shared" si="308"/>
        <v>0</v>
      </c>
      <c r="O615" s="312">
        <f t="shared" si="308"/>
        <v>0</v>
      </c>
      <c r="P615" s="312">
        <f t="shared" si="308"/>
        <v>0</v>
      </c>
      <c r="Q615" s="322">
        <f t="shared" si="308"/>
        <v>0</v>
      </c>
      <c r="R615" s="322">
        <f t="shared" si="308"/>
        <v>0</v>
      </c>
      <c r="S615" s="312">
        <f t="shared" si="308"/>
        <v>0</v>
      </c>
      <c r="T615" s="312">
        <f t="shared" si="308"/>
        <v>0</v>
      </c>
      <c r="U615" s="132">
        <f t="shared" si="283"/>
        <v>3433.6</v>
      </c>
      <c r="V615" s="132">
        <f t="shared" si="284"/>
        <v>3433.6</v>
      </c>
    </row>
    <row r="616" spans="1:22" s="77" customFormat="1" ht="63" x14ac:dyDescent="0.25">
      <c r="A616" s="83" t="s">
        <v>115</v>
      </c>
      <c r="B616" s="75" t="s">
        <v>76</v>
      </c>
      <c r="C616" s="75" t="s">
        <v>12</v>
      </c>
      <c r="D616" s="75" t="s">
        <v>14</v>
      </c>
      <c r="E616" s="75" t="s">
        <v>448</v>
      </c>
      <c r="F616" s="75" t="s">
        <v>113</v>
      </c>
      <c r="G616" s="311"/>
      <c r="H616" s="311">
        <v>3433.6</v>
      </c>
      <c r="I616" s="320"/>
      <c r="J616" s="320">
        <v>3433.6</v>
      </c>
      <c r="K616" s="409"/>
      <c r="L616" s="409"/>
      <c r="M616" s="323"/>
      <c r="N616" s="323"/>
      <c r="O616" s="313"/>
      <c r="P616" s="313"/>
      <c r="Q616" s="323"/>
      <c r="R616" s="323"/>
      <c r="S616" s="313"/>
      <c r="T616" s="313"/>
      <c r="U616" s="131">
        <f t="shared" si="283"/>
        <v>3433.6</v>
      </c>
      <c r="V616" s="131">
        <f t="shared" si="284"/>
        <v>3433.6</v>
      </c>
    </row>
    <row r="617" spans="1:22" s="77" customFormat="1" ht="47.25" customHeight="1" outlineLevel="1" x14ac:dyDescent="0.25">
      <c r="A617" s="78" t="s">
        <v>94</v>
      </c>
      <c r="B617" s="79" t="s">
        <v>76</v>
      </c>
      <c r="C617" s="79" t="s">
        <v>12</v>
      </c>
      <c r="D617" s="79" t="s">
        <v>14</v>
      </c>
      <c r="E617" s="79" t="s">
        <v>449</v>
      </c>
      <c r="F617" s="79" t="s">
        <v>9</v>
      </c>
      <c r="G617" s="316">
        <f t="shared" ref="G617:T617" si="309">G618</f>
        <v>0</v>
      </c>
      <c r="H617" s="316">
        <f t="shared" si="309"/>
        <v>5</v>
      </c>
      <c r="I617" s="338">
        <f t="shared" si="309"/>
        <v>0</v>
      </c>
      <c r="J617" s="338">
        <f t="shared" si="309"/>
        <v>5</v>
      </c>
      <c r="K617" s="408">
        <f t="shared" si="309"/>
        <v>0</v>
      </c>
      <c r="L617" s="408">
        <f t="shared" si="309"/>
        <v>0</v>
      </c>
      <c r="M617" s="322">
        <f t="shared" si="309"/>
        <v>0</v>
      </c>
      <c r="N617" s="322">
        <f t="shared" si="309"/>
        <v>0</v>
      </c>
      <c r="O617" s="312">
        <f t="shared" si="309"/>
        <v>0</v>
      </c>
      <c r="P617" s="312">
        <f t="shared" si="309"/>
        <v>0</v>
      </c>
      <c r="Q617" s="322">
        <f t="shared" si="309"/>
        <v>0</v>
      </c>
      <c r="R617" s="322">
        <f t="shared" si="309"/>
        <v>0</v>
      </c>
      <c r="S617" s="312">
        <f t="shared" si="309"/>
        <v>0</v>
      </c>
      <c r="T617" s="312">
        <f t="shared" si="309"/>
        <v>0</v>
      </c>
      <c r="U617" s="132">
        <f t="shared" si="283"/>
        <v>5</v>
      </c>
      <c r="V617" s="132">
        <f t="shared" si="284"/>
        <v>5</v>
      </c>
    </row>
    <row r="618" spans="1:22" s="77" customFormat="1" ht="31.5" customHeight="1" outlineLevel="1" x14ac:dyDescent="0.25">
      <c r="A618" s="264" t="s">
        <v>124</v>
      </c>
      <c r="B618" s="265" t="s">
        <v>76</v>
      </c>
      <c r="C618" s="265" t="s">
        <v>12</v>
      </c>
      <c r="D618" s="265" t="s">
        <v>14</v>
      </c>
      <c r="E618" s="265" t="s">
        <v>449</v>
      </c>
      <c r="F618" s="265" t="s">
        <v>117</v>
      </c>
      <c r="G618" s="311"/>
      <c r="H618" s="311">
        <v>5</v>
      </c>
      <c r="I618" s="320"/>
      <c r="J618" s="320">
        <v>5</v>
      </c>
      <c r="K618" s="409"/>
      <c r="L618" s="409"/>
      <c r="M618" s="323"/>
      <c r="N618" s="323"/>
      <c r="O618" s="313"/>
      <c r="P618" s="313"/>
      <c r="Q618" s="323"/>
      <c r="R618" s="323"/>
      <c r="S618" s="313"/>
      <c r="T618" s="313"/>
      <c r="U618" s="131">
        <f t="shared" si="283"/>
        <v>5</v>
      </c>
      <c r="V618" s="131">
        <f t="shared" si="284"/>
        <v>5</v>
      </c>
    </row>
    <row r="619" spans="1:22" s="80" customFormat="1" ht="31.5" x14ac:dyDescent="0.25">
      <c r="A619" s="78" t="s">
        <v>205</v>
      </c>
      <c r="B619" s="79" t="s">
        <v>76</v>
      </c>
      <c r="C619" s="79" t="s">
        <v>12</v>
      </c>
      <c r="D619" s="79" t="s">
        <v>14</v>
      </c>
      <c r="E619" s="79" t="s">
        <v>450</v>
      </c>
      <c r="F619" s="79" t="s">
        <v>9</v>
      </c>
      <c r="G619" s="316">
        <f t="shared" ref="G619:T619" si="310">G620+G624+G628+G622</f>
        <v>0</v>
      </c>
      <c r="H619" s="316">
        <f>H620+H624+H628+H622</f>
        <v>47577.7</v>
      </c>
      <c r="I619" s="338">
        <f t="shared" si="310"/>
        <v>0</v>
      </c>
      <c r="J619" s="338">
        <f>J620+J624+J628+J622</f>
        <v>47576.4</v>
      </c>
      <c r="K619" s="408">
        <f t="shared" si="310"/>
        <v>0</v>
      </c>
      <c r="L619" s="408">
        <f t="shared" si="310"/>
        <v>0</v>
      </c>
      <c r="M619" s="322">
        <f t="shared" si="310"/>
        <v>0</v>
      </c>
      <c r="N619" s="322">
        <f t="shared" si="310"/>
        <v>0</v>
      </c>
      <c r="O619" s="312">
        <f t="shared" si="310"/>
        <v>0</v>
      </c>
      <c r="P619" s="312">
        <f t="shared" si="310"/>
        <v>0</v>
      </c>
      <c r="Q619" s="322">
        <f t="shared" si="310"/>
        <v>0</v>
      </c>
      <c r="R619" s="322">
        <f t="shared" si="310"/>
        <v>0</v>
      </c>
      <c r="S619" s="312">
        <f t="shared" si="310"/>
        <v>0</v>
      </c>
      <c r="T619" s="312">
        <f t="shared" si="310"/>
        <v>0</v>
      </c>
      <c r="U619" s="132">
        <f t="shared" si="283"/>
        <v>47577.7</v>
      </c>
      <c r="V619" s="132">
        <f t="shared" si="284"/>
        <v>47576.4</v>
      </c>
    </row>
    <row r="620" spans="1:22" s="77" customFormat="1" x14ac:dyDescent="0.25">
      <c r="A620" s="78" t="s">
        <v>200</v>
      </c>
      <c r="B620" s="79" t="s">
        <v>76</v>
      </c>
      <c r="C620" s="79" t="s">
        <v>12</v>
      </c>
      <c r="D620" s="79" t="s">
        <v>14</v>
      </c>
      <c r="E620" s="79" t="s">
        <v>451</v>
      </c>
      <c r="F620" s="79" t="s">
        <v>9</v>
      </c>
      <c r="G620" s="316">
        <f t="shared" ref="G620:T620" si="311">G621</f>
        <v>0</v>
      </c>
      <c r="H620" s="316">
        <f t="shared" si="311"/>
        <v>10038.199999999997</v>
      </c>
      <c r="I620" s="338">
        <f t="shared" si="311"/>
        <v>0</v>
      </c>
      <c r="J620" s="338">
        <f t="shared" si="311"/>
        <v>10038.199999999997</v>
      </c>
      <c r="K620" s="408">
        <f t="shared" si="311"/>
        <v>0</v>
      </c>
      <c r="L620" s="408">
        <f t="shared" si="311"/>
        <v>0</v>
      </c>
      <c r="M620" s="322">
        <f t="shared" si="311"/>
        <v>0</v>
      </c>
      <c r="N620" s="322">
        <f t="shared" si="311"/>
        <v>0</v>
      </c>
      <c r="O620" s="312">
        <f t="shared" si="311"/>
        <v>0</v>
      </c>
      <c r="P620" s="312">
        <f t="shared" si="311"/>
        <v>0</v>
      </c>
      <c r="Q620" s="322">
        <f t="shared" si="311"/>
        <v>0</v>
      </c>
      <c r="R620" s="322">
        <f t="shared" si="311"/>
        <v>0</v>
      </c>
      <c r="S620" s="312">
        <f t="shared" si="311"/>
        <v>0</v>
      </c>
      <c r="T620" s="312">
        <f t="shared" si="311"/>
        <v>0</v>
      </c>
      <c r="U620" s="132">
        <f t="shared" si="283"/>
        <v>10038.199999999997</v>
      </c>
      <c r="V620" s="132">
        <f t="shared" si="284"/>
        <v>10038.199999999997</v>
      </c>
    </row>
    <row r="621" spans="1:22" s="77" customFormat="1" ht="31.5" x14ac:dyDescent="0.25">
      <c r="A621" s="74" t="s">
        <v>843</v>
      </c>
      <c r="B621" s="75" t="s">
        <v>76</v>
      </c>
      <c r="C621" s="75" t="s">
        <v>12</v>
      </c>
      <c r="D621" s="75" t="s">
        <v>14</v>
      </c>
      <c r="E621" s="75" t="s">
        <v>451</v>
      </c>
      <c r="F621" s="75" t="s">
        <v>490</v>
      </c>
      <c r="G621" s="311"/>
      <c r="H621" s="311">
        <f>37936.6-17398.4-10000-500</f>
        <v>10038.199999999997</v>
      </c>
      <c r="I621" s="320"/>
      <c r="J621" s="320">
        <f>37936.6-17398.4-10000-500</f>
        <v>10038.199999999997</v>
      </c>
      <c r="K621" s="409"/>
      <c r="L621" s="407"/>
      <c r="M621" s="323"/>
      <c r="N621" s="323"/>
      <c r="O621" s="313"/>
      <c r="P621" s="313"/>
      <c r="Q621" s="323"/>
      <c r="R621" s="323"/>
      <c r="S621" s="313"/>
      <c r="T621" s="313"/>
      <c r="U621" s="131">
        <f t="shared" si="283"/>
        <v>10038.199999999997</v>
      </c>
      <c r="V621" s="131">
        <f t="shared" si="284"/>
        <v>10038.199999999997</v>
      </c>
    </row>
    <row r="622" spans="1:22" s="77" customFormat="1" x14ac:dyDescent="0.25">
      <c r="A622" s="78" t="s">
        <v>200</v>
      </c>
      <c r="B622" s="79" t="s">
        <v>76</v>
      </c>
      <c r="C622" s="79" t="s">
        <v>12</v>
      </c>
      <c r="D622" s="79" t="s">
        <v>14</v>
      </c>
      <c r="E622" s="79" t="s">
        <v>660</v>
      </c>
      <c r="F622" s="79" t="s">
        <v>9</v>
      </c>
      <c r="G622" s="316">
        <f t="shared" ref="G622:T622" si="312">G623</f>
        <v>0</v>
      </c>
      <c r="H622" s="316">
        <f t="shared" si="312"/>
        <v>27898.400000000001</v>
      </c>
      <c r="I622" s="338">
        <f t="shared" si="312"/>
        <v>0</v>
      </c>
      <c r="J622" s="338">
        <f t="shared" si="312"/>
        <v>27898.400000000001</v>
      </c>
      <c r="K622" s="408">
        <f t="shared" si="312"/>
        <v>0</v>
      </c>
      <c r="L622" s="408">
        <f t="shared" si="312"/>
        <v>0</v>
      </c>
      <c r="M622" s="322">
        <f t="shared" si="312"/>
        <v>0</v>
      </c>
      <c r="N622" s="322">
        <f t="shared" si="312"/>
        <v>0</v>
      </c>
      <c r="O622" s="312">
        <f t="shared" si="312"/>
        <v>0</v>
      </c>
      <c r="P622" s="312">
        <f t="shared" si="312"/>
        <v>0</v>
      </c>
      <c r="Q622" s="322">
        <f t="shared" si="312"/>
        <v>0</v>
      </c>
      <c r="R622" s="322">
        <f t="shared" si="312"/>
        <v>0</v>
      </c>
      <c r="S622" s="312">
        <f t="shared" si="312"/>
        <v>0</v>
      </c>
      <c r="T622" s="312">
        <f t="shared" si="312"/>
        <v>0</v>
      </c>
      <c r="U622" s="132">
        <f t="shared" si="283"/>
        <v>27898.400000000001</v>
      </c>
      <c r="V622" s="132">
        <f t="shared" si="284"/>
        <v>27898.400000000001</v>
      </c>
    </row>
    <row r="623" spans="1:22" s="80" customFormat="1" ht="31.5" x14ac:dyDescent="0.25">
      <c r="A623" s="74" t="s">
        <v>843</v>
      </c>
      <c r="B623" s="75" t="s">
        <v>76</v>
      </c>
      <c r="C623" s="75" t="s">
        <v>12</v>
      </c>
      <c r="D623" s="75" t="s">
        <v>14</v>
      </c>
      <c r="E623" s="75" t="s">
        <v>660</v>
      </c>
      <c r="F623" s="75" t="s">
        <v>490</v>
      </c>
      <c r="G623" s="311"/>
      <c r="H623" s="311">
        <f>17398.4+10000+500</f>
        <v>27898.400000000001</v>
      </c>
      <c r="I623" s="320"/>
      <c r="J623" s="320">
        <f>17398.4+10000+500</f>
        <v>27898.400000000001</v>
      </c>
      <c r="K623" s="409"/>
      <c r="L623" s="407"/>
      <c r="M623" s="323"/>
      <c r="N623" s="323"/>
      <c r="O623" s="313"/>
      <c r="P623" s="313"/>
      <c r="Q623" s="323"/>
      <c r="R623" s="323"/>
      <c r="S623" s="313"/>
      <c r="T623" s="313"/>
      <c r="U623" s="131">
        <f t="shared" si="283"/>
        <v>27898.400000000001</v>
      </c>
      <c r="V623" s="131">
        <f t="shared" si="284"/>
        <v>27898.400000000001</v>
      </c>
    </row>
    <row r="624" spans="1:22" s="80" customFormat="1" x14ac:dyDescent="0.25">
      <c r="A624" s="78" t="s">
        <v>201</v>
      </c>
      <c r="B624" s="79" t="s">
        <v>76</v>
      </c>
      <c r="C624" s="79" t="s">
        <v>12</v>
      </c>
      <c r="D624" s="79" t="s">
        <v>14</v>
      </c>
      <c r="E624" s="79" t="s">
        <v>452</v>
      </c>
      <c r="F624" s="79" t="s">
        <v>9</v>
      </c>
      <c r="G624" s="316">
        <f t="shared" ref="G624:T624" si="313">G625+G626+G627</f>
        <v>0</v>
      </c>
      <c r="H624" s="316">
        <f t="shared" si="313"/>
        <v>9641.1</v>
      </c>
      <c r="I624" s="338">
        <f t="shared" si="313"/>
        <v>0</v>
      </c>
      <c r="J624" s="338">
        <f t="shared" si="313"/>
        <v>9639.8000000000011</v>
      </c>
      <c r="K624" s="408">
        <f t="shared" si="313"/>
        <v>0</v>
      </c>
      <c r="L624" s="408">
        <f t="shared" si="313"/>
        <v>0</v>
      </c>
      <c r="M624" s="322">
        <f t="shared" si="313"/>
        <v>0</v>
      </c>
      <c r="N624" s="322">
        <f t="shared" si="313"/>
        <v>0</v>
      </c>
      <c r="O624" s="312">
        <f t="shared" si="313"/>
        <v>0</v>
      </c>
      <c r="P624" s="312">
        <f t="shared" si="313"/>
        <v>0</v>
      </c>
      <c r="Q624" s="322">
        <f t="shared" si="313"/>
        <v>0</v>
      </c>
      <c r="R624" s="322">
        <f t="shared" si="313"/>
        <v>0</v>
      </c>
      <c r="S624" s="312">
        <f t="shared" si="313"/>
        <v>0</v>
      </c>
      <c r="T624" s="312">
        <f t="shared" si="313"/>
        <v>0</v>
      </c>
      <c r="U624" s="132">
        <f t="shared" si="283"/>
        <v>9641.1</v>
      </c>
      <c r="V624" s="132">
        <f t="shared" si="284"/>
        <v>9639.8000000000011</v>
      </c>
    </row>
    <row r="625" spans="1:22" s="80" customFormat="1" ht="63" x14ac:dyDescent="0.25">
      <c r="A625" s="74" t="s">
        <v>115</v>
      </c>
      <c r="B625" s="75" t="s">
        <v>76</v>
      </c>
      <c r="C625" s="75" t="s">
        <v>12</v>
      </c>
      <c r="D625" s="75" t="s">
        <v>14</v>
      </c>
      <c r="E625" s="75" t="s">
        <v>452</v>
      </c>
      <c r="F625" s="75" t="s">
        <v>113</v>
      </c>
      <c r="G625" s="311"/>
      <c r="H625" s="311">
        <v>6749</v>
      </c>
      <c r="I625" s="320"/>
      <c r="J625" s="320">
        <v>6749</v>
      </c>
      <c r="K625" s="409"/>
      <c r="L625" s="407"/>
      <c r="M625" s="323"/>
      <c r="N625" s="323"/>
      <c r="O625" s="313"/>
      <c r="P625" s="313"/>
      <c r="Q625" s="323"/>
      <c r="R625" s="323"/>
      <c r="S625" s="313"/>
      <c r="T625" s="313"/>
      <c r="U625" s="131">
        <f t="shared" si="283"/>
        <v>6749</v>
      </c>
      <c r="V625" s="131">
        <f t="shared" si="284"/>
        <v>6749</v>
      </c>
    </row>
    <row r="626" spans="1:22" s="80" customFormat="1" ht="31.5" x14ac:dyDescent="0.25">
      <c r="A626" s="74" t="s">
        <v>124</v>
      </c>
      <c r="B626" s="75" t="s">
        <v>76</v>
      </c>
      <c r="C626" s="75" t="s">
        <v>12</v>
      </c>
      <c r="D626" s="75" t="s">
        <v>14</v>
      </c>
      <c r="E626" s="75" t="s">
        <v>452</v>
      </c>
      <c r="F626" s="75" t="s">
        <v>117</v>
      </c>
      <c r="G626" s="311"/>
      <c r="H626" s="311">
        <v>2837.4</v>
      </c>
      <c r="I626" s="320"/>
      <c r="J626" s="320">
        <f>2837.4-1.3</f>
        <v>2836.1</v>
      </c>
      <c r="K626" s="409"/>
      <c r="L626" s="407"/>
      <c r="M626" s="323"/>
      <c r="N626" s="323"/>
      <c r="O626" s="313"/>
      <c r="P626" s="313"/>
      <c r="Q626" s="323"/>
      <c r="R626" s="323"/>
      <c r="S626" s="313"/>
      <c r="T626" s="313"/>
      <c r="U626" s="131">
        <f t="shared" si="283"/>
        <v>2837.4</v>
      </c>
      <c r="V626" s="131">
        <f t="shared" si="284"/>
        <v>2836.1</v>
      </c>
    </row>
    <row r="627" spans="1:22" s="77" customFormat="1" x14ac:dyDescent="0.25">
      <c r="A627" s="74" t="s">
        <v>116</v>
      </c>
      <c r="B627" s="75" t="s">
        <v>76</v>
      </c>
      <c r="C627" s="75" t="s">
        <v>12</v>
      </c>
      <c r="D627" s="75" t="s">
        <v>14</v>
      </c>
      <c r="E627" s="75" t="s">
        <v>452</v>
      </c>
      <c r="F627" s="75" t="s">
        <v>114</v>
      </c>
      <c r="G627" s="311"/>
      <c r="H627" s="311">
        <v>54.7</v>
      </c>
      <c r="I627" s="320"/>
      <c r="J627" s="320">
        <v>54.7</v>
      </c>
      <c r="K627" s="409"/>
      <c r="L627" s="409"/>
      <c r="M627" s="323"/>
      <c r="N627" s="323"/>
      <c r="O627" s="313"/>
      <c r="P627" s="313"/>
      <c r="Q627" s="323"/>
      <c r="R627" s="323"/>
      <c r="S627" s="313"/>
      <c r="T627" s="313"/>
      <c r="U627" s="131">
        <f t="shared" si="283"/>
        <v>54.7</v>
      </c>
      <c r="V627" s="131">
        <f t="shared" si="284"/>
        <v>54.7</v>
      </c>
    </row>
    <row r="628" spans="1:22" s="80" customFormat="1" ht="48.75" customHeight="1" outlineLevel="1" x14ac:dyDescent="0.25">
      <c r="A628" s="78" t="s">
        <v>201</v>
      </c>
      <c r="B628" s="79" t="s">
        <v>76</v>
      </c>
      <c r="C628" s="79" t="s">
        <v>12</v>
      </c>
      <c r="D628" s="79" t="s">
        <v>14</v>
      </c>
      <c r="E628" s="79" t="s">
        <v>525</v>
      </c>
      <c r="F628" s="79" t="s">
        <v>9</v>
      </c>
      <c r="G628" s="316">
        <f t="shared" ref="G628:T628" si="314">G629</f>
        <v>0</v>
      </c>
      <c r="H628" s="316">
        <f t="shared" si="314"/>
        <v>0</v>
      </c>
      <c r="I628" s="338">
        <f t="shared" si="314"/>
        <v>0</v>
      </c>
      <c r="J628" s="338">
        <f t="shared" si="314"/>
        <v>0</v>
      </c>
      <c r="K628" s="408">
        <f t="shared" si="314"/>
        <v>0</v>
      </c>
      <c r="L628" s="408">
        <f t="shared" si="314"/>
        <v>0</v>
      </c>
      <c r="M628" s="322">
        <f t="shared" si="314"/>
        <v>0</v>
      </c>
      <c r="N628" s="322">
        <f t="shared" si="314"/>
        <v>0</v>
      </c>
      <c r="O628" s="312">
        <f t="shared" si="314"/>
        <v>0</v>
      </c>
      <c r="P628" s="312">
        <f t="shared" si="314"/>
        <v>0</v>
      </c>
      <c r="Q628" s="322">
        <f t="shared" si="314"/>
        <v>0</v>
      </c>
      <c r="R628" s="322">
        <f t="shared" si="314"/>
        <v>0</v>
      </c>
      <c r="S628" s="312">
        <f t="shared" si="314"/>
        <v>0</v>
      </c>
      <c r="T628" s="312">
        <f t="shared" si="314"/>
        <v>0</v>
      </c>
      <c r="U628" s="132">
        <f t="shared" si="283"/>
        <v>0</v>
      </c>
      <c r="V628" s="132">
        <f t="shared" si="284"/>
        <v>0</v>
      </c>
    </row>
    <row r="629" spans="1:22" s="80" customFormat="1" ht="70.5" customHeight="1" outlineLevel="1" x14ac:dyDescent="0.25">
      <c r="A629" s="74" t="s">
        <v>116</v>
      </c>
      <c r="B629" s="75" t="s">
        <v>76</v>
      </c>
      <c r="C629" s="75" t="s">
        <v>12</v>
      </c>
      <c r="D629" s="75" t="s">
        <v>14</v>
      </c>
      <c r="E629" s="75" t="s">
        <v>525</v>
      </c>
      <c r="F629" s="75" t="s">
        <v>114</v>
      </c>
      <c r="G629" s="311"/>
      <c r="H629" s="311"/>
      <c r="I629" s="320"/>
      <c r="J629" s="320"/>
      <c r="K629" s="409"/>
      <c r="L629" s="409"/>
      <c r="M629" s="323"/>
      <c r="N629" s="323"/>
      <c r="O629" s="313"/>
      <c r="P629" s="313"/>
      <c r="Q629" s="323"/>
      <c r="R629" s="323"/>
      <c r="S629" s="313"/>
      <c r="T629" s="313"/>
      <c r="U629" s="131">
        <f t="shared" si="283"/>
        <v>0</v>
      </c>
      <c r="V629" s="131">
        <f t="shared" si="284"/>
        <v>0</v>
      </c>
    </row>
    <row r="630" spans="1:22" s="80" customFormat="1" ht="47.25" customHeight="1" outlineLevel="1" x14ac:dyDescent="0.25">
      <c r="A630" s="78" t="s">
        <v>890</v>
      </c>
      <c r="B630" s="79" t="s">
        <v>76</v>
      </c>
      <c r="C630" s="79" t="s">
        <v>12</v>
      </c>
      <c r="D630" s="79" t="s">
        <v>14</v>
      </c>
      <c r="E630" s="79" t="s">
        <v>893</v>
      </c>
      <c r="F630" s="79" t="s">
        <v>9</v>
      </c>
      <c r="G630" s="316">
        <f t="shared" ref="G630:T630" si="315">G632+G631</f>
        <v>0</v>
      </c>
      <c r="H630" s="316">
        <f t="shared" si="315"/>
        <v>0</v>
      </c>
      <c r="I630" s="338">
        <f t="shared" si="315"/>
        <v>0</v>
      </c>
      <c r="J630" s="338">
        <f t="shared" si="315"/>
        <v>0</v>
      </c>
      <c r="K630" s="408">
        <f t="shared" si="315"/>
        <v>0</v>
      </c>
      <c r="L630" s="408">
        <f t="shared" si="315"/>
        <v>0</v>
      </c>
      <c r="M630" s="322">
        <f t="shared" si="315"/>
        <v>0</v>
      </c>
      <c r="N630" s="322">
        <f t="shared" si="315"/>
        <v>0</v>
      </c>
      <c r="O630" s="312">
        <f t="shared" si="315"/>
        <v>0</v>
      </c>
      <c r="P630" s="312">
        <f t="shared" si="315"/>
        <v>0</v>
      </c>
      <c r="Q630" s="322">
        <f t="shared" si="315"/>
        <v>0</v>
      </c>
      <c r="R630" s="322">
        <f t="shared" si="315"/>
        <v>0</v>
      </c>
      <c r="S630" s="312">
        <f t="shared" si="315"/>
        <v>0</v>
      </c>
      <c r="T630" s="312">
        <f t="shared" si="315"/>
        <v>0</v>
      </c>
      <c r="U630" s="132">
        <f t="shared" si="283"/>
        <v>0</v>
      </c>
      <c r="V630" s="132">
        <f t="shared" si="284"/>
        <v>0</v>
      </c>
    </row>
    <row r="631" spans="1:22" s="80" customFormat="1" ht="31.5" customHeight="1" outlineLevel="1" x14ac:dyDescent="0.25">
      <c r="A631" s="74" t="s">
        <v>124</v>
      </c>
      <c r="B631" s="75" t="s">
        <v>76</v>
      </c>
      <c r="C631" s="75" t="s">
        <v>12</v>
      </c>
      <c r="D631" s="75" t="s">
        <v>14</v>
      </c>
      <c r="E631" s="75" t="s">
        <v>893</v>
      </c>
      <c r="F631" s="75" t="s">
        <v>117</v>
      </c>
      <c r="G631" s="311"/>
      <c r="H631" s="311"/>
      <c r="I631" s="320"/>
      <c r="J631" s="320"/>
      <c r="K631" s="409"/>
      <c r="L631" s="409"/>
      <c r="M631" s="323"/>
      <c r="N631" s="323"/>
      <c r="O631" s="313"/>
      <c r="P631" s="313"/>
      <c r="Q631" s="323"/>
      <c r="R631" s="323"/>
      <c r="S631" s="313"/>
      <c r="T631" s="313"/>
      <c r="U631" s="131">
        <f t="shared" si="283"/>
        <v>0</v>
      </c>
      <c r="V631" s="131">
        <f t="shared" si="284"/>
        <v>0</v>
      </c>
    </row>
    <row r="632" spans="1:22" s="80" customFormat="1" ht="31.5" customHeight="1" outlineLevel="1" x14ac:dyDescent="0.25">
      <c r="A632" s="74" t="s">
        <v>843</v>
      </c>
      <c r="B632" s="75" t="s">
        <v>76</v>
      </c>
      <c r="C632" s="75" t="s">
        <v>12</v>
      </c>
      <c r="D632" s="75" t="s">
        <v>14</v>
      </c>
      <c r="E632" s="75" t="s">
        <v>893</v>
      </c>
      <c r="F632" s="75" t="s">
        <v>490</v>
      </c>
      <c r="G632" s="311"/>
      <c r="H632" s="311"/>
      <c r="I632" s="320"/>
      <c r="J632" s="320"/>
      <c r="K632" s="409"/>
      <c r="L632" s="409"/>
      <c r="M632" s="323"/>
      <c r="N632" s="323"/>
      <c r="O632" s="313"/>
      <c r="P632" s="313"/>
      <c r="Q632" s="323"/>
      <c r="R632" s="323"/>
      <c r="S632" s="313"/>
      <c r="T632" s="313"/>
      <c r="U632" s="131">
        <f t="shared" si="283"/>
        <v>0</v>
      </c>
      <c r="V632" s="131">
        <f t="shared" si="284"/>
        <v>0</v>
      </c>
    </row>
    <row r="633" spans="1:22" s="80" customFormat="1" ht="47.25" customHeight="1" outlineLevel="1" x14ac:dyDescent="0.25">
      <c r="A633" s="78" t="s">
        <v>890</v>
      </c>
      <c r="B633" s="79" t="s">
        <v>76</v>
      </c>
      <c r="C633" s="79" t="s">
        <v>12</v>
      </c>
      <c r="D633" s="79" t="s">
        <v>14</v>
      </c>
      <c r="E633" s="79" t="s">
        <v>894</v>
      </c>
      <c r="F633" s="79" t="s">
        <v>9</v>
      </c>
      <c r="G633" s="316">
        <f t="shared" ref="G633:T633" si="316">G634</f>
        <v>0</v>
      </c>
      <c r="H633" s="316">
        <f t="shared" si="316"/>
        <v>0</v>
      </c>
      <c r="I633" s="338">
        <f t="shared" si="316"/>
        <v>0</v>
      </c>
      <c r="J633" s="338">
        <f t="shared" si="316"/>
        <v>0</v>
      </c>
      <c r="K633" s="408">
        <f t="shared" si="316"/>
        <v>0</v>
      </c>
      <c r="L633" s="408">
        <f t="shared" si="316"/>
        <v>0</v>
      </c>
      <c r="M633" s="322">
        <f t="shared" si="316"/>
        <v>0</v>
      </c>
      <c r="N633" s="322">
        <f t="shared" si="316"/>
        <v>0</v>
      </c>
      <c r="O633" s="312">
        <f t="shared" si="316"/>
        <v>0</v>
      </c>
      <c r="P633" s="312">
        <f t="shared" si="316"/>
        <v>0</v>
      </c>
      <c r="Q633" s="322">
        <f t="shared" si="316"/>
        <v>0</v>
      </c>
      <c r="R633" s="322">
        <f t="shared" si="316"/>
        <v>0</v>
      </c>
      <c r="S633" s="312">
        <f t="shared" si="316"/>
        <v>0</v>
      </c>
      <c r="T633" s="312">
        <f t="shared" si="316"/>
        <v>0</v>
      </c>
      <c r="U633" s="132">
        <f t="shared" si="283"/>
        <v>0</v>
      </c>
      <c r="V633" s="132">
        <f t="shared" si="284"/>
        <v>0</v>
      </c>
    </row>
    <row r="634" spans="1:22" s="80" customFormat="1" ht="31.5" customHeight="1" outlineLevel="1" x14ac:dyDescent="0.25">
      <c r="A634" s="74" t="s">
        <v>843</v>
      </c>
      <c r="B634" s="75" t="s">
        <v>76</v>
      </c>
      <c r="C634" s="75" t="s">
        <v>12</v>
      </c>
      <c r="D634" s="75" t="s">
        <v>14</v>
      </c>
      <c r="E634" s="75" t="s">
        <v>894</v>
      </c>
      <c r="F634" s="75" t="s">
        <v>490</v>
      </c>
      <c r="G634" s="311"/>
      <c r="H634" s="311"/>
      <c r="I634" s="320"/>
      <c r="J634" s="320"/>
      <c r="K634" s="409"/>
      <c r="L634" s="409"/>
      <c r="M634" s="323"/>
      <c r="N634" s="323"/>
      <c r="O634" s="313"/>
      <c r="P634" s="313"/>
      <c r="Q634" s="323"/>
      <c r="R634" s="323"/>
      <c r="S634" s="313"/>
      <c r="T634" s="313"/>
      <c r="U634" s="131">
        <f t="shared" si="283"/>
        <v>0</v>
      </c>
      <c r="V634" s="131">
        <f t="shared" si="284"/>
        <v>0</v>
      </c>
    </row>
    <row r="635" spans="1:22" s="80" customFormat="1" collapsed="1" x14ac:dyDescent="0.25">
      <c r="A635" s="78" t="s">
        <v>1058</v>
      </c>
      <c r="B635" s="79" t="s">
        <v>76</v>
      </c>
      <c r="C635" s="79" t="s">
        <v>12</v>
      </c>
      <c r="D635" s="79" t="s">
        <v>14</v>
      </c>
      <c r="E635" s="79" t="s">
        <v>1061</v>
      </c>
      <c r="F635" s="79" t="s">
        <v>9</v>
      </c>
      <c r="G635" s="316">
        <f t="shared" ref="G635:T635" si="317">G636</f>
        <v>128.9</v>
      </c>
      <c r="H635" s="316">
        <f t="shared" si="317"/>
        <v>0</v>
      </c>
      <c r="I635" s="338">
        <f t="shared" si="317"/>
        <v>128.4</v>
      </c>
      <c r="J635" s="338">
        <f t="shared" si="317"/>
        <v>0</v>
      </c>
      <c r="K635" s="408">
        <f t="shared" si="317"/>
        <v>0</v>
      </c>
      <c r="L635" s="408">
        <f t="shared" si="317"/>
        <v>0</v>
      </c>
      <c r="M635" s="322">
        <f t="shared" si="317"/>
        <v>0</v>
      </c>
      <c r="N635" s="322">
        <f t="shared" si="317"/>
        <v>0</v>
      </c>
      <c r="O635" s="312">
        <f t="shared" si="317"/>
        <v>0</v>
      </c>
      <c r="P635" s="312">
        <f t="shared" si="317"/>
        <v>0</v>
      </c>
      <c r="Q635" s="322">
        <f t="shared" si="317"/>
        <v>0</v>
      </c>
      <c r="R635" s="322">
        <f t="shared" si="317"/>
        <v>0</v>
      </c>
      <c r="S635" s="312">
        <f t="shared" si="317"/>
        <v>0</v>
      </c>
      <c r="T635" s="312">
        <f t="shared" si="317"/>
        <v>0</v>
      </c>
      <c r="U635" s="132">
        <f t="shared" si="283"/>
        <v>128.9</v>
      </c>
      <c r="V635" s="132">
        <f t="shared" si="284"/>
        <v>128.4</v>
      </c>
    </row>
    <row r="636" spans="1:22" s="80" customFormat="1" ht="31.5" x14ac:dyDescent="0.25">
      <c r="A636" s="74" t="s">
        <v>124</v>
      </c>
      <c r="B636" s="75" t="s">
        <v>76</v>
      </c>
      <c r="C636" s="75" t="s">
        <v>12</v>
      </c>
      <c r="D636" s="75" t="s">
        <v>14</v>
      </c>
      <c r="E636" s="75" t="s">
        <v>1061</v>
      </c>
      <c r="F636" s="75" t="s">
        <v>117</v>
      </c>
      <c r="G636" s="311">
        <f>127.6+1.3</f>
        <v>128.9</v>
      </c>
      <c r="H636" s="311"/>
      <c r="I636" s="359">
        <f>127.1+1.3</f>
        <v>128.4</v>
      </c>
      <c r="J636" s="320"/>
      <c r="K636" s="409"/>
      <c r="L636" s="409"/>
      <c r="M636" s="323"/>
      <c r="N636" s="323"/>
      <c r="O636" s="310"/>
      <c r="P636" s="313"/>
      <c r="Q636" s="323"/>
      <c r="R636" s="323"/>
      <c r="S636" s="313"/>
      <c r="T636" s="313"/>
      <c r="U636" s="131">
        <f t="shared" si="283"/>
        <v>128.9</v>
      </c>
      <c r="V636" s="131">
        <f t="shared" si="284"/>
        <v>128.4</v>
      </c>
    </row>
    <row r="637" spans="1:22" s="77" customFormat="1" x14ac:dyDescent="0.25">
      <c r="A637" s="74" t="s">
        <v>17</v>
      </c>
      <c r="B637" s="75" t="s">
        <v>76</v>
      </c>
      <c r="C637" s="75" t="s">
        <v>18</v>
      </c>
      <c r="D637" s="75" t="s">
        <v>10</v>
      </c>
      <c r="E637" s="75" t="s">
        <v>365</v>
      </c>
      <c r="F637" s="75" t="s">
        <v>9</v>
      </c>
      <c r="G637" s="311">
        <f t="shared" ref="G637:T637" si="318">G638+G643+G655</f>
        <v>18466.27</v>
      </c>
      <c r="H637" s="311">
        <f>H638+H643+H655</f>
        <v>2128.8000000000002</v>
      </c>
      <c r="I637" s="320">
        <f t="shared" si="318"/>
        <v>16325.4</v>
      </c>
      <c r="J637" s="320">
        <f>J638+J643+J655</f>
        <v>2128.8000000000002</v>
      </c>
      <c r="K637" s="407">
        <f t="shared" si="318"/>
        <v>145.91749999999999</v>
      </c>
      <c r="L637" s="407">
        <f t="shared" si="318"/>
        <v>144.97499999999999</v>
      </c>
      <c r="M637" s="321">
        <f t="shared" si="318"/>
        <v>0</v>
      </c>
      <c r="N637" s="321">
        <f t="shared" si="318"/>
        <v>0</v>
      </c>
      <c r="O637" s="310">
        <f t="shared" si="318"/>
        <v>0</v>
      </c>
      <c r="P637" s="310">
        <f t="shared" si="318"/>
        <v>0</v>
      </c>
      <c r="Q637" s="321">
        <f t="shared" si="318"/>
        <v>0</v>
      </c>
      <c r="R637" s="321">
        <f t="shared" si="318"/>
        <v>0</v>
      </c>
      <c r="S637" s="310">
        <f t="shared" si="318"/>
        <v>0</v>
      </c>
      <c r="T637" s="310">
        <f t="shared" si="318"/>
        <v>0</v>
      </c>
      <c r="U637" s="131">
        <f t="shared" si="283"/>
        <v>20740.987499999999</v>
      </c>
      <c r="V637" s="131">
        <f t="shared" si="284"/>
        <v>18599.174999999999</v>
      </c>
    </row>
    <row r="638" spans="1:22" s="77" customFormat="1" x14ac:dyDescent="0.25">
      <c r="A638" s="78" t="s">
        <v>95</v>
      </c>
      <c r="B638" s="79" t="s">
        <v>76</v>
      </c>
      <c r="C638" s="79" t="s">
        <v>18</v>
      </c>
      <c r="D638" s="79" t="s">
        <v>14</v>
      </c>
      <c r="E638" s="79" t="s">
        <v>365</v>
      </c>
      <c r="F638" s="79" t="s">
        <v>9</v>
      </c>
      <c r="G638" s="316">
        <f t="shared" ref="G638:T639" si="319">G639</f>
        <v>0</v>
      </c>
      <c r="H638" s="316">
        <f t="shared" si="319"/>
        <v>2128.8000000000002</v>
      </c>
      <c r="I638" s="338">
        <f t="shared" si="319"/>
        <v>0</v>
      </c>
      <c r="J638" s="338">
        <f t="shared" si="319"/>
        <v>2128.8000000000002</v>
      </c>
      <c r="K638" s="408">
        <f t="shared" si="319"/>
        <v>0</v>
      </c>
      <c r="L638" s="408">
        <f t="shared" si="319"/>
        <v>0</v>
      </c>
      <c r="M638" s="322">
        <f t="shared" si="319"/>
        <v>0</v>
      </c>
      <c r="N638" s="322">
        <f t="shared" si="319"/>
        <v>0</v>
      </c>
      <c r="O638" s="312">
        <f t="shared" si="319"/>
        <v>0</v>
      </c>
      <c r="P638" s="312">
        <f t="shared" si="319"/>
        <v>0</v>
      </c>
      <c r="Q638" s="322">
        <f t="shared" si="319"/>
        <v>0</v>
      </c>
      <c r="R638" s="322">
        <f t="shared" si="319"/>
        <v>0</v>
      </c>
      <c r="S638" s="312">
        <f t="shared" si="319"/>
        <v>0</v>
      </c>
      <c r="T638" s="312">
        <f t="shared" si="319"/>
        <v>0</v>
      </c>
      <c r="U638" s="132">
        <f t="shared" si="283"/>
        <v>2128.8000000000002</v>
      </c>
      <c r="V638" s="132">
        <f t="shared" si="284"/>
        <v>2128.8000000000002</v>
      </c>
    </row>
    <row r="639" spans="1:22" s="77" customFormat="1" ht="31.5" x14ac:dyDescent="0.25">
      <c r="A639" s="78" t="s">
        <v>784</v>
      </c>
      <c r="B639" s="79" t="s">
        <v>76</v>
      </c>
      <c r="C639" s="79" t="s">
        <v>18</v>
      </c>
      <c r="D639" s="79" t="s">
        <v>14</v>
      </c>
      <c r="E639" s="79" t="s">
        <v>380</v>
      </c>
      <c r="F639" s="79" t="s">
        <v>9</v>
      </c>
      <c r="G639" s="316">
        <f t="shared" si="319"/>
        <v>0</v>
      </c>
      <c r="H639" s="316">
        <f t="shared" si="319"/>
        <v>2128.8000000000002</v>
      </c>
      <c r="I639" s="338">
        <f t="shared" si="319"/>
        <v>0</v>
      </c>
      <c r="J639" s="338">
        <f t="shared" si="319"/>
        <v>2128.8000000000002</v>
      </c>
      <c r="K639" s="408">
        <f t="shared" si="319"/>
        <v>0</v>
      </c>
      <c r="L639" s="408">
        <f t="shared" si="319"/>
        <v>0</v>
      </c>
      <c r="M639" s="322">
        <f t="shared" si="319"/>
        <v>0</v>
      </c>
      <c r="N639" s="322">
        <f t="shared" si="319"/>
        <v>0</v>
      </c>
      <c r="O639" s="312">
        <f t="shared" si="319"/>
        <v>0</v>
      </c>
      <c r="P639" s="312">
        <f t="shared" si="319"/>
        <v>0</v>
      </c>
      <c r="Q639" s="322">
        <f t="shared" si="319"/>
        <v>0</v>
      </c>
      <c r="R639" s="322">
        <f t="shared" si="319"/>
        <v>0</v>
      </c>
      <c r="S639" s="312">
        <f t="shared" si="319"/>
        <v>0</v>
      </c>
      <c r="T639" s="312">
        <f t="shared" si="319"/>
        <v>0</v>
      </c>
      <c r="U639" s="132">
        <f t="shared" si="283"/>
        <v>2128.8000000000002</v>
      </c>
      <c r="V639" s="132">
        <f t="shared" si="284"/>
        <v>2128.8000000000002</v>
      </c>
    </row>
    <row r="640" spans="1:22" s="77" customFormat="1" ht="31.5" x14ac:dyDescent="0.25">
      <c r="A640" s="78" t="s">
        <v>571</v>
      </c>
      <c r="B640" s="79" t="s">
        <v>76</v>
      </c>
      <c r="C640" s="79" t="s">
        <v>18</v>
      </c>
      <c r="D640" s="79" t="s">
        <v>14</v>
      </c>
      <c r="E640" s="79" t="s">
        <v>453</v>
      </c>
      <c r="F640" s="79" t="s">
        <v>9</v>
      </c>
      <c r="G640" s="316">
        <f t="shared" ref="G640:T640" si="320">G641+G642</f>
        <v>0</v>
      </c>
      <c r="H640" s="316">
        <f>H641+H642</f>
        <v>2128.8000000000002</v>
      </c>
      <c r="I640" s="338">
        <f t="shared" si="320"/>
        <v>0</v>
      </c>
      <c r="J640" s="338">
        <f>J641+J642</f>
        <v>2128.8000000000002</v>
      </c>
      <c r="K640" s="408">
        <f t="shared" si="320"/>
        <v>0</v>
      </c>
      <c r="L640" s="408">
        <f t="shared" si="320"/>
        <v>0</v>
      </c>
      <c r="M640" s="322">
        <f t="shared" si="320"/>
        <v>0</v>
      </c>
      <c r="N640" s="322">
        <f t="shared" si="320"/>
        <v>0</v>
      </c>
      <c r="O640" s="312">
        <f t="shared" si="320"/>
        <v>0</v>
      </c>
      <c r="P640" s="312">
        <f t="shared" si="320"/>
        <v>0</v>
      </c>
      <c r="Q640" s="322">
        <f t="shared" si="320"/>
        <v>0</v>
      </c>
      <c r="R640" s="322">
        <f t="shared" si="320"/>
        <v>0</v>
      </c>
      <c r="S640" s="312">
        <f t="shared" si="320"/>
        <v>0</v>
      </c>
      <c r="T640" s="312">
        <f t="shared" si="320"/>
        <v>0</v>
      </c>
      <c r="U640" s="132">
        <f t="shared" si="283"/>
        <v>2128.8000000000002</v>
      </c>
      <c r="V640" s="132">
        <f t="shared" si="284"/>
        <v>2128.8000000000002</v>
      </c>
    </row>
    <row r="641" spans="1:228" s="80" customFormat="1" ht="31.5" x14ac:dyDescent="0.25">
      <c r="A641" s="74" t="s">
        <v>124</v>
      </c>
      <c r="B641" s="75" t="s">
        <v>76</v>
      </c>
      <c r="C641" s="75" t="s">
        <v>18</v>
      </c>
      <c r="D641" s="75" t="s">
        <v>14</v>
      </c>
      <c r="E641" s="75" t="s">
        <v>453</v>
      </c>
      <c r="F641" s="75" t="s">
        <v>117</v>
      </c>
      <c r="G641" s="311"/>
      <c r="H641" s="311">
        <v>21</v>
      </c>
      <c r="I641" s="320"/>
      <c r="J641" s="320">
        <v>21</v>
      </c>
      <c r="K641" s="409"/>
      <c r="L641" s="409"/>
      <c r="M641" s="323"/>
      <c r="N641" s="323"/>
      <c r="O641" s="313"/>
      <c r="P641" s="313"/>
      <c r="Q641" s="323"/>
      <c r="R641" s="323"/>
      <c r="S641" s="313"/>
      <c r="T641" s="313"/>
      <c r="U641" s="131">
        <f t="shared" si="283"/>
        <v>21</v>
      </c>
      <c r="V641" s="131">
        <f t="shared" si="284"/>
        <v>21</v>
      </c>
    </row>
    <row r="642" spans="1:228" s="80" customFormat="1" x14ac:dyDescent="0.25">
      <c r="A642" s="74" t="s">
        <v>125</v>
      </c>
      <c r="B642" s="75" t="s">
        <v>76</v>
      </c>
      <c r="C642" s="75" t="s">
        <v>18</v>
      </c>
      <c r="D642" s="75" t="s">
        <v>14</v>
      </c>
      <c r="E642" s="75" t="s">
        <v>453</v>
      </c>
      <c r="F642" s="75" t="s">
        <v>118</v>
      </c>
      <c r="G642" s="311"/>
      <c r="H642" s="311">
        <v>2107.8000000000002</v>
      </c>
      <c r="I642" s="320"/>
      <c r="J642" s="320">
        <v>2107.8000000000002</v>
      </c>
      <c r="K642" s="409"/>
      <c r="L642" s="409"/>
      <c r="M642" s="323"/>
      <c r="N642" s="323"/>
      <c r="O642" s="313"/>
      <c r="P642" s="313"/>
      <c r="Q642" s="323"/>
      <c r="R642" s="323"/>
      <c r="S642" s="313"/>
      <c r="T642" s="313"/>
      <c r="U642" s="131">
        <f t="shared" si="283"/>
        <v>2107.8000000000002</v>
      </c>
      <c r="V642" s="131">
        <f t="shared" si="284"/>
        <v>2107.8000000000002</v>
      </c>
    </row>
    <row r="643" spans="1:228" s="80" customFormat="1" x14ac:dyDescent="0.25">
      <c r="A643" s="78" t="s">
        <v>19</v>
      </c>
      <c r="B643" s="79" t="s">
        <v>76</v>
      </c>
      <c r="C643" s="79" t="s">
        <v>18</v>
      </c>
      <c r="D643" s="79" t="s">
        <v>20</v>
      </c>
      <c r="E643" s="79" t="s">
        <v>365</v>
      </c>
      <c r="F643" s="79" t="s">
        <v>9</v>
      </c>
      <c r="G643" s="316">
        <f t="shared" ref="G643:T643" si="321">G644</f>
        <v>1413.3</v>
      </c>
      <c r="H643" s="316">
        <f t="shared" si="321"/>
        <v>0</v>
      </c>
      <c r="I643" s="338">
        <f t="shared" si="321"/>
        <v>1413.3</v>
      </c>
      <c r="J643" s="338">
        <f t="shared" si="321"/>
        <v>0</v>
      </c>
      <c r="K643" s="408">
        <f t="shared" si="321"/>
        <v>0</v>
      </c>
      <c r="L643" s="408">
        <f t="shared" si="321"/>
        <v>0</v>
      </c>
      <c r="M643" s="322">
        <f t="shared" si="321"/>
        <v>0</v>
      </c>
      <c r="N643" s="322">
        <f t="shared" si="321"/>
        <v>0</v>
      </c>
      <c r="O643" s="312">
        <f t="shared" si="321"/>
        <v>0</v>
      </c>
      <c r="P643" s="312">
        <f t="shared" si="321"/>
        <v>0</v>
      </c>
      <c r="Q643" s="322">
        <f t="shared" si="321"/>
        <v>0</v>
      </c>
      <c r="R643" s="322">
        <f t="shared" si="321"/>
        <v>0</v>
      </c>
      <c r="S643" s="312">
        <f t="shared" si="321"/>
        <v>0</v>
      </c>
      <c r="T643" s="312">
        <f t="shared" si="321"/>
        <v>0</v>
      </c>
      <c r="U643" s="132">
        <f t="shared" si="283"/>
        <v>1413.3</v>
      </c>
      <c r="V643" s="132">
        <f t="shared" si="284"/>
        <v>1413.3</v>
      </c>
    </row>
    <row r="644" spans="1:228" s="80" customFormat="1" ht="31.5" x14ac:dyDescent="0.25">
      <c r="A644" s="78" t="s">
        <v>784</v>
      </c>
      <c r="B644" s="79" t="s">
        <v>76</v>
      </c>
      <c r="C644" s="79" t="s">
        <v>18</v>
      </c>
      <c r="D644" s="79" t="s">
        <v>20</v>
      </c>
      <c r="E644" s="79" t="s">
        <v>380</v>
      </c>
      <c r="F644" s="79" t="s">
        <v>9</v>
      </c>
      <c r="G644" s="316">
        <f t="shared" ref="G644:T644" si="322">G647+G645</f>
        <v>1413.3</v>
      </c>
      <c r="H644" s="316">
        <f>H647+H645</f>
        <v>0</v>
      </c>
      <c r="I644" s="338">
        <f t="shared" si="322"/>
        <v>1413.3</v>
      </c>
      <c r="J644" s="338">
        <f>J647+J645</f>
        <v>0</v>
      </c>
      <c r="K644" s="408">
        <f t="shared" si="322"/>
        <v>0</v>
      </c>
      <c r="L644" s="408">
        <f t="shared" si="322"/>
        <v>0</v>
      </c>
      <c r="M644" s="322">
        <f t="shared" si="322"/>
        <v>0</v>
      </c>
      <c r="N644" s="322">
        <f t="shared" si="322"/>
        <v>0</v>
      </c>
      <c r="O644" s="312">
        <f t="shared" si="322"/>
        <v>0</v>
      </c>
      <c r="P644" s="312">
        <f t="shared" si="322"/>
        <v>0</v>
      </c>
      <c r="Q644" s="322">
        <f t="shared" si="322"/>
        <v>0</v>
      </c>
      <c r="R644" s="322">
        <f t="shared" si="322"/>
        <v>0</v>
      </c>
      <c r="S644" s="312">
        <f t="shared" si="322"/>
        <v>0</v>
      </c>
      <c r="T644" s="312">
        <f t="shared" si="322"/>
        <v>0</v>
      </c>
      <c r="U644" s="132">
        <f t="shared" ref="U644:U710" si="323">G644+K644+M644+O644+Q644+S644+H644</f>
        <v>1413.3</v>
      </c>
      <c r="V644" s="132">
        <f t="shared" ref="V644:V710" si="324">I644+L644+N644+P644+R644+T644+J644</f>
        <v>1413.3</v>
      </c>
    </row>
    <row r="645" spans="1:228" s="80" customFormat="1" ht="31.5" customHeight="1" outlineLevel="1" x14ac:dyDescent="0.25">
      <c r="A645" s="78" t="s">
        <v>571</v>
      </c>
      <c r="B645" s="79" t="s">
        <v>76</v>
      </c>
      <c r="C645" s="79" t="s">
        <v>18</v>
      </c>
      <c r="D645" s="79" t="s">
        <v>20</v>
      </c>
      <c r="E645" s="79" t="s">
        <v>453</v>
      </c>
      <c r="F645" s="79" t="s">
        <v>9</v>
      </c>
      <c r="G645" s="316">
        <f t="shared" ref="G645:T645" si="325">G646</f>
        <v>0</v>
      </c>
      <c r="H645" s="316">
        <f t="shared" si="325"/>
        <v>0</v>
      </c>
      <c r="I645" s="338">
        <f t="shared" si="325"/>
        <v>0</v>
      </c>
      <c r="J645" s="338">
        <f t="shared" si="325"/>
        <v>0</v>
      </c>
      <c r="K645" s="408">
        <f t="shared" si="325"/>
        <v>0</v>
      </c>
      <c r="L645" s="408">
        <f t="shared" si="325"/>
        <v>0</v>
      </c>
      <c r="M645" s="322">
        <f t="shared" si="325"/>
        <v>0</v>
      </c>
      <c r="N645" s="322">
        <f t="shared" si="325"/>
        <v>0</v>
      </c>
      <c r="O645" s="312">
        <f t="shared" si="325"/>
        <v>0</v>
      </c>
      <c r="P645" s="312">
        <f t="shared" si="325"/>
        <v>0</v>
      </c>
      <c r="Q645" s="322">
        <f t="shared" si="325"/>
        <v>0</v>
      </c>
      <c r="R645" s="322">
        <f t="shared" si="325"/>
        <v>0</v>
      </c>
      <c r="S645" s="312">
        <f t="shared" si="325"/>
        <v>0</v>
      </c>
      <c r="T645" s="312">
        <f t="shared" si="325"/>
        <v>0</v>
      </c>
      <c r="U645" s="132">
        <f t="shared" si="323"/>
        <v>0</v>
      </c>
      <c r="V645" s="132">
        <f t="shared" si="324"/>
        <v>0</v>
      </c>
    </row>
    <row r="646" spans="1:228" s="80" customFormat="1" ht="15.75" customHeight="1" outlineLevel="1" x14ac:dyDescent="0.25">
      <c r="A646" s="74" t="s">
        <v>125</v>
      </c>
      <c r="B646" s="75" t="s">
        <v>76</v>
      </c>
      <c r="C646" s="75" t="s">
        <v>18</v>
      </c>
      <c r="D646" s="75" t="s">
        <v>20</v>
      </c>
      <c r="E646" s="75" t="s">
        <v>453</v>
      </c>
      <c r="F646" s="75" t="s">
        <v>118</v>
      </c>
      <c r="G646" s="311"/>
      <c r="H646" s="311"/>
      <c r="I646" s="320"/>
      <c r="J646" s="320"/>
      <c r="K646" s="407"/>
      <c r="L646" s="407"/>
      <c r="M646" s="321"/>
      <c r="N646" s="321"/>
      <c r="O646" s="310"/>
      <c r="P646" s="310"/>
      <c r="Q646" s="321"/>
      <c r="R646" s="321"/>
      <c r="S646" s="310"/>
      <c r="T646" s="310"/>
      <c r="U646" s="131">
        <f t="shared" si="323"/>
        <v>0</v>
      </c>
      <c r="V646" s="131">
        <f t="shared" si="324"/>
        <v>0</v>
      </c>
    </row>
    <row r="647" spans="1:228" s="80" customFormat="1" collapsed="1" x14ac:dyDescent="0.25">
      <c r="A647" s="78" t="s">
        <v>15</v>
      </c>
      <c r="B647" s="79" t="s">
        <v>76</v>
      </c>
      <c r="C647" s="79" t="s">
        <v>18</v>
      </c>
      <c r="D647" s="79" t="s">
        <v>20</v>
      </c>
      <c r="E647" s="79" t="s">
        <v>433</v>
      </c>
      <c r="F647" s="79" t="s">
        <v>9</v>
      </c>
      <c r="G647" s="316">
        <f t="shared" ref="G647:T647" si="326">G648</f>
        <v>1413.3</v>
      </c>
      <c r="H647" s="316">
        <f t="shared" si="326"/>
        <v>0</v>
      </c>
      <c r="I647" s="338">
        <f t="shared" si="326"/>
        <v>1413.3</v>
      </c>
      <c r="J647" s="338">
        <f t="shared" si="326"/>
        <v>0</v>
      </c>
      <c r="K647" s="408">
        <f t="shared" si="326"/>
        <v>0</v>
      </c>
      <c r="L647" s="408">
        <f t="shared" si="326"/>
        <v>0</v>
      </c>
      <c r="M647" s="322">
        <f t="shared" si="326"/>
        <v>0</v>
      </c>
      <c r="N647" s="322">
        <f t="shared" si="326"/>
        <v>0</v>
      </c>
      <c r="O647" s="312">
        <f t="shared" si="326"/>
        <v>0</v>
      </c>
      <c r="P647" s="312">
        <f t="shared" si="326"/>
        <v>0</v>
      </c>
      <c r="Q647" s="322">
        <f t="shared" si="326"/>
        <v>0</v>
      </c>
      <c r="R647" s="322">
        <f t="shared" si="326"/>
        <v>0</v>
      </c>
      <c r="S647" s="312">
        <f t="shared" si="326"/>
        <v>0</v>
      </c>
      <c r="T647" s="312">
        <f t="shared" si="326"/>
        <v>0</v>
      </c>
      <c r="U647" s="132">
        <f t="shared" si="323"/>
        <v>1413.3</v>
      </c>
      <c r="V647" s="132">
        <f t="shared" si="324"/>
        <v>1413.3</v>
      </c>
    </row>
    <row r="648" spans="1:228" s="77" customFormat="1" ht="47.25" x14ac:dyDescent="0.25">
      <c r="A648" s="78" t="s">
        <v>1110</v>
      </c>
      <c r="B648" s="79" t="s">
        <v>76</v>
      </c>
      <c r="C648" s="79" t="s">
        <v>18</v>
      </c>
      <c r="D648" s="79" t="s">
        <v>20</v>
      </c>
      <c r="E648" s="79" t="s">
        <v>454</v>
      </c>
      <c r="F648" s="79" t="s">
        <v>9</v>
      </c>
      <c r="G648" s="316">
        <f>G649+G652</f>
        <v>1413.3</v>
      </c>
      <c r="H648" s="316">
        <f t="shared" ref="H648:T648" si="327">H649+H652</f>
        <v>0</v>
      </c>
      <c r="I648" s="316">
        <f t="shared" si="327"/>
        <v>1413.3</v>
      </c>
      <c r="J648" s="316">
        <f t="shared" si="327"/>
        <v>0</v>
      </c>
      <c r="K648" s="408">
        <f t="shared" si="327"/>
        <v>0</v>
      </c>
      <c r="L648" s="408">
        <f t="shared" si="327"/>
        <v>0</v>
      </c>
      <c r="M648" s="316">
        <f t="shared" si="327"/>
        <v>0</v>
      </c>
      <c r="N648" s="316">
        <f t="shared" si="327"/>
        <v>0</v>
      </c>
      <c r="O648" s="316">
        <f t="shared" si="327"/>
        <v>0</v>
      </c>
      <c r="P648" s="316">
        <f t="shared" si="327"/>
        <v>0</v>
      </c>
      <c r="Q648" s="316">
        <f t="shared" si="327"/>
        <v>0</v>
      </c>
      <c r="R648" s="316">
        <f t="shared" si="327"/>
        <v>0</v>
      </c>
      <c r="S648" s="316">
        <f t="shared" si="327"/>
        <v>0</v>
      </c>
      <c r="T648" s="316">
        <f t="shared" si="327"/>
        <v>0</v>
      </c>
      <c r="U648" s="132">
        <f t="shared" si="323"/>
        <v>1413.3</v>
      </c>
      <c r="V648" s="132">
        <f t="shared" si="324"/>
        <v>1413.3</v>
      </c>
    </row>
    <row r="649" spans="1:228" s="80" customFormat="1" ht="78.75" x14ac:dyDescent="0.25">
      <c r="A649" s="78" t="s">
        <v>21</v>
      </c>
      <c r="B649" s="79" t="s">
        <v>76</v>
      </c>
      <c r="C649" s="79" t="s">
        <v>18</v>
      </c>
      <c r="D649" s="79" t="s">
        <v>20</v>
      </c>
      <c r="E649" s="79" t="s">
        <v>455</v>
      </c>
      <c r="F649" s="79" t="s">
        <v>9</v>
      </c>
      <c r="G649" s="316">
        <f t="shared" ref="G649:T649" si="328">G650+G651</f>
        <v>575</v>
      </c>
      <c r="H649" s="316">
        <f>H650+H651</f>
        <v>0</v>
      </c>
      <c r="I649" s="338">
        <f t="shared" si="328"/>
        <v>575</v>
      </c>
      <c r="J649" s="338">
        <f>J650+J651</f>
        <v>0</v>
      </c>
      <c r="K649" s="408">
        <f t="shared" si="328"/>
        <v>0</v>
      </c>
      <c r="L649" s="408">
        <f t="shared" si="328"/>
        <v>0</v>
      </c>
      <c r="M649" s="322">
        <f t="shared" si="328"/>
        <v>0</v>
      </c>
      <c r="N649" s="322">
        <f t="shared" si="328"/>
        <v>0</v>
      </c>
      <c r="O649" s="312">
        <f t="shared" si="328"/>
        <v>0</v>
      </c>
      <c r="P649" s="312">
        <f t="shared" si="328"/>
        <v>0</v>
      </c>
      <c r="Q649" s="322">
        <f t="shared" si="328"/>
        <v>0</v>
      </c>
      <c r="R649" s="322">
        <f t="shared" si="328"/>
        <v>0</v>
      </c>
      <c r="S649" s="312">
        <f t="shared" si="328"/>
        <v>0</v>
      </c>
      <c r="T649" s="312">
        <f t="shared" si="328"/>
        <v>0</v>
      </c>
      <c r="U649" s="132">
        <f t="shared" si="323"/>
        <v>575</v>
      </c>
      <c r="V649" s="132">
        <f t="shared" si="324"/>
        <v>575</v>
      </c>
    </row>
    <row r="650" spans="1:228" s="80" customFormat="1" ht="63" x14ac:dyDescent="0.25">
      <c r="A650" s="74" t="s">
        <v>115</v>
      </c>
      <c r="B650" s="75" t="s">
        <v>76</v>
      </c>
      <c r="C650" s="75" t="s">
        <v>18</v>
      </c>
      <c r="D650" s="75" t="s">
        <v>20</v>
      </c>
      <c r="E650" s="75" t="s">
        <v>455</v>
      </c>
      <c r="F650" s="75" t="s">
        <v>113</v>
      </c>
      <c r="G650" s="311">
        <v>150.16</v>
      </c>
      <c r="H650" s="311"/>
      <c r="I650" s="320">
        <v>150.16</v>
      </c>
      <c r="J650" s="320"/>
      <c r="K650" s="409"/>
      <c r="L650" s="409"/>
      <c r="M650" s="323"/>
      <c r="N650" s="323"/>
      <c r="O650" s="313"/>
      <c r="P650" s="313"/>
      <c r="Q650" s="323"/>
      <c r="R650" s="323"/>
      <c r="S650" s="313"/>
      <c r="T650" s="313"/>
      <c r="U650" s="131">
        <f t="shared" si="323"/>
        <v>150.16</v>
      </c>
      <c r="V650" s="131">
        <f t="shared" si="324"/>
        <v>150.16</v>
      </c>
    </row>
    <row r="651" spans="1:228" s="77" customFormat="1" ht="31.5" x14ac:dyDescent="0.25">
      <c r="A651" s="74" t="s">
        <v>843</v>
      </c>
      <c r="B651" s="75" t="s">
        <v>76</v>
      </c>
      <c r="C651" s="75" t="s">
        <v>18</v>
      </c>
      <c r="D651" s="75" t="s">
        <v>20</v>
      </c>
      <c r="E651" s="75" t="s">
        <v>455</v>
      </c>
      <c r="F651" s="75" t="s">
        <v>490</v>
      </c>
      <c r="G651" s="311">
        <v>424.84</v>
      </c>
      <c r="H651" s="311"/>
      <c r="I651" s="320">
        <v>424.84</v>
      </c>
      <c r="J651" s="320"/>
      <c r="K651" s="409"/>
      <c r="L651" s="409"/>
      <c r="M651" s="323"/>
      <c r="N651" s="323"/>
      <c r="O651" s="313"/>
      <c r="P651" s="313"/>
      <c r="Q651" s="323"/>
      <c r="R651" s="323"/>
      <c r="S651" s="313"/>
      <c r="T651" s="313"/>
      <c r="U651" s="131">
        <f t="shared" si="323"/>
        <v>424.84</v>
      </c>
      <c r="V651" s="131">
        <f t="shared" si="324"/>
        <v>424.84</v>
      </c>
    </row>
    <row r="652" spans="1:228" s="80" customFormat="1" ht="63" x14ac:dyDescent="0.25">
      <c r="A652" s="78" t="s">
        <v>1114</v>
      </c>
      <c r="B652" s="79" t="s">
        <v>76</v>
      </c>
      <c r="C652" s="79" t="s">
        <v>18</v>
      </c>
      <c r="D652" s="79" t="s">
        <v>20</v>
      </c>
      <c r="E652" s="79" t="s">
        <v>1147</v>
      </c>
      <c r="F652" s="79" t="s">
        <v>9</v>
      </c>
      <c r="G652" s="316">
        <f t="shared" ref="G652" si="329">G653+G654</f>
        <v>838.3</v>
      </c>
      <c r="H652" s="316">
        <f>H653+H654</f>
        <v>0</v>
      </c>
      <c r="I652" s="338">
        <f t="shared" ref="I652" si="330">I653+I654</f>
        <v>838.3</v>
      </c>
      <c r="J652" s="338">
        <f>J653+J654</f>
        <v>0</v>
      </c>
      <c r="K652" s="408">
        <f t="shared" ref="K652:O652" si="331">K653+K654</f>
        <v>0</v>
      </c>
      <c r="L652" s="408">
        <f t="shared" si="331"/>
        <v>0</v>
      </c>
      <c r="M652" s="322">
        <f t="shared" si="331"/>
        <v>0</v>
      </c>
      <c r="N652" s="322">
        <f t="shared" si="331"/>
        <v>0</v>
      </c>
      <c r="O652" s="312">
        <f t="shared" si="331"/>
        <v>0</v>
      </c>
      <c r="P652" s="312">
        <f>P653+P654</f>
        <v>0</v>
      </c>
      <c r="Q652" s="322">
        <f>Q653+Q654</f>
        <v>0</v>
      </c>
      <c r="R652" s="322">
        <f>R653+R654</f>
        <v>0</v>
      </c>
      <c r="S652" s="312">
        <f>S653+S654</f>
        <v>0</v>
      </c>
      <c r="T652" s="312">
        <f>T653+T654</f>
        <v>0</v>
      </c>
      <c r="U652" s="132">
        <f t="shared" si="323"/>
        <v>838.3</v>
      </c>
      <c r="V652" s="132">
        <f t="shared" si="324"/>
        <v>838.3</v>
      </c>
    </row>
    <row r="653" spans="1:228" s="77" customFormat="1" ht="63" x14ac:dyDescent="0.25">
      <c r="A653" s="74" t="s">
        <v>115</v>
      </c>
      <c r="B653" s="75" t="s">
        <v>76</v>
      </c>
      <c r="C653" s="75" t="s">
        <v>18</v>
      </c>
      <c r="D653" s="75" t="s">
        <v>20</v>
      </c>
      <c r="E653" s="75" t="s">
        <v>1147</v>
      </c>
      <c r="F653" s="75" t="s">
        <v>113</v>
      </c>
      <c r="G653" s="311">
        <v>830</v>
      </c>
      <c r="H653" s="311"/>
      <c r="I653" s="320">
        <v>830</v>
      </c>
      <c r="J653" s="320"/>
      <c r="K653" s="409"/>
      <c r="L653" s="409"/>
      <c r="M653" s="323"/>
      <c r="N653" s="323"/>
      <c r="O653" s="313"/>
      <c r="P653" s="313"/>
      <c r="Q653" s="323"/>
      <c r="R653" s="323"/>
      <c r="S653" s="313"/>
      <c r="T653" s="313"/>
      <c r="U653" s="131">
        <f t="shared" si="323"/>
        <v>830</v>
      </c>
      <c r="V653" s="131">
        <f t="shared" si="324"/>
        <v>830</v>
      </c>
    </row>
    <row r="654" spans="1:228" s="77" customFormat="1" ht="31.5" x14ac:dyDescent="0.25">
      <c r="A654" s="74" t="s">
        <v>124</v>
      </c>
      <c r="B654" s="75" t="s">
        <v>76</v>
      </c>
      <c r="C654" s="75" t="s">
        <v>18</v>
      </c>
      <c r="D654" s="75" t="s">
        <v>20</v>
      </c>
      <c r="E654" s="75" t="s">
        <v>1147</v>
      </c>
      <c r="F654" s="75" t="s">
        <v>117</v>
      </c>
      <c r="G654" s="311">
        <v>8.3000000000000007</v>
      </c>
      <c r="H654" s="311"/>
      <c r="I654" s="320">
        <v>8.3000000000000007</v>
      </c>
      <c r="J654" s="320"/>
      <c r="K654" s="409"/>
      <c r="L654" s="409"/>
      <c r="M654" s="323"/>
      <c r="N654" s="323"/>
      <c r="O654" s="313"/>
      <c r="P654" s="313"/>
      <c r="Q654" s="323"/>
      <c r="R654" s="323"/>
      <c r="S654" s="313"/>
      <c r="T654" s="313"/>
      <c r="U654" s="131">
        <f t="shared" si="323"/>
        <v>8.3000000000000007</v>
      </c>
      <c r="V654" s="131">
        <f t="shared" si="324"/>
        <v>8.3000000000000007</v>
      </c>
    </row>
    <row r="655" spans="1:228" s="77" customFormat="1" x14ac:dyDescent="0.25">
      <c r="A655" s="78" t="s">
        <v>47</v>
      </c>
      <c r="B655" s="79" t="s">
        <v>76</v>
      </c>
      <c r="C655" s="79" t="s">
        <v>18</v>
      </c>
      <c r="D655" s="79" t="s">
        <v>25</v>
      </c>
      <c r="E655" s="79" t="s">
        <v>365</v>
      </c>
      <c r="F655" s="79" t="s">
        <v>9</v>
      </c>
      <c r="G655" s="316">
        <f t="shared" ref="G655:T655" si="332">G656</f>
        <v>17052.97</v>
      </c>
      <c r="H655" s="316">
        <f t="shared" si="332"/>
        <v>0</v>
      </c>
      <c r="I655" s="338">
        <f t="shared" si="332"/>
        <v>14912.1</v>
      </c>
      <c r="J655" s="338">
        <f t="shared" si="332"/>
        <v>0</v>
      </c>
      <c r="K655" s="408">
        <f t="shared" si="332"/>
        <v>145.91749999999999</v>
      </c>
      <c r="L655" s="408">
        <f t="shared" si="332"/>
        <v>144.97499999999999</v>
      </c>
      <c r="M655" s="322">
        <f t="shared" si="332"/>
        <v>0</v>
      </c>
      <c r="N655" s="322">
        <f t="shared" si="332"/>
        <v>0</v>
      </c>
      <c r="O655" s="312">
        <f t="shared" si="332"/>
        <v>0</v>
      </c>
      <c r="P655" s="312">
        <f t="shared" si="332"/>
        <v>0</v>
      </c>
      <c r="Q655" s="322">
        <f t="shared" si="332"/>
        <v>0</v>
      </c>
      <c r="R655" s="322">
        <f t="shared" si="332"/>
        <v>0</v>
      </c>
      <c r="S655" s="312">
        <f t="shared" si="332"/>
        <v>0</v>
      </c>
      <c r="T655" s="312">
        <f t="shared" si="332"/>
        <v>0</v>
      </c>
      <c r="U655" s="132">
        <f t="shared" si="323"/>
        <v>17198.887500000001</v>
      </c>
      <c r="V655" s="132">
        <f t="shared" si="324"/>
        <v>15057.075000000001</v>
      </c>
    </row>
    <row r="656" spans="1:228" s="77" customFormat="1" ht="31.5" x14ac:dyDescent="0.25">
      <c r="A656" s="78" t="s">
        <v>784</v>
      </c>
      <c r="B656" s="79" t="s">
        <v>76</v>
      </c>
      <c r="C656" s="79" t="s">
        <v>18</v>
      </c>
      <c r="D656" s="79" t="s">
        <v>25</v>
      </c>
      <c r="E656" s="79" t="s">
        <v>380</v>
      </c>
      <c r="F656" s="79" t="s">
        <v>9</v>
      </c>
      <c r="G656" s="316">
        <f t="shared" ref="G656:T656" si="333">G657+G676+G664+G667+G683+G674+G680+G686</f>
        <v>17052.97</v>
      </c>
      <c r="H656" s="316">
        <f>H657+H676+H664+H667+H683+H674+H680+H686</f>
        <v>0</v>
      </c>
      <c r="I656" s="338">
        <f t="shared" si="333"/>
        <v>14912.1</v>
      </c>
      <c r="J656" s="338">
        <f>J657+J676+J664+J667+J683+J674+J680+J686</f>
        <v>0</v>
      </c>
      <c r="K656" s="408">
        <f t="shared" si="333"/>
        <v>145.91749999999999</v>
      </c>
      <c r="L656" s="408">
        <f t="shared" si="333"/>
        <v>144.97499999999999</v>
      </c>
      <c r="M656" s="322">
        <f t="shared" si="333"/>
        <v>0</v>
      </c>
      <c r="N656" s="322">
        <f t="shared" si="333"/>
        <v>0</v>
      </c>
      <c r="O656" s="312">
        <f t="shared" si="333"/>
        <v>0</v>
      </c>
      <c r="P656" s="312">
        <f t="shared" si="333"/>
        <v>0</v>
      </c>
      <c r="Q656" s="322">
        <f t="shared" si="333"/>
        <v>0</v>
      </c>
      <c r="R656" s="322">
        <f t="shared" si="333"/>
        <v>0</v>
      </c>
      <c r="S656" s="312">
        <f t="shared" si="333"/>
        <v>0</v>
      </c>
      <c r="T656" s="312">
        <f t="shared" si="333"/>
        <v>0</v>
      </c>
      <c r="U656" s="132">
        <f t="shared" si="323"/>
        <v>17198.887500000001</v>
      </c>
      <c r="V656" s="132">
        <f t="shared" si="324"/>
        <v>15057.075000000001</v>
      </c>
      <c r="W656" s="80"/>
      <c r="X656" s="80"/>
      <c r="Y656" s="80"/>
      <c r="Z656" s="80"/>
      <c r="AA656" s="80"/>
      <c r="AB656" s="80"/>
      <c r="AC656" s="80"/>
      <c r="AD656" s="80"/>
      <c r="AE656" s="80"/>
      <c r="AF656" s="80"/>
      <c r="AG656" s="80"/>
      <c r="AH656" s="80"/>
      <c r="AI656" s="80"/>
      <c r="AJ656" s="80"/>
      <c r="AK656" s="80"/>
      <c r="AL656" s="80"/>
      <c r="AM656" s="80"/>
      <c r="AN656" s="80"/>
      <c r="AO656" s="80"/>
      <c r="AP656" s="80"/>
      <c r="AQ656" s="80"/>
      <c r="AR656" s="80"/>
      <c r="AS656" s="80"/>
      <c r="AT656" s="80"/>
      <c r="AU656" s="80"/>
      <c r="AV656" s="80"/>
      <c r="AW656" s="80"/>
      <c r="AX656" s="80"/>
      <c r="AY656" s="80"/>
      <c r="AZ656" s="80"/>
      <c r="BA656" s="80"/>
      <c r="BB656" s="80"/>
      <c r="BC656" s="80"/>
      <c r="BD656" s="80"/>
      <c r="BE656" s="80"/>
      <c r="BF656" s="80"/>
      <c r="BG656" s="80"/>
      <c r="BH656" s="80"/>
      <c r="BI656" s="80"/>
      <c r="BJ656" s="80"/>
      <c r="BK656" s="80"/>
      <c r="BL656" s="80"/>
      <c r="BM656" s="80"/>
      <c r="BN656" s="80"/>
      <c r="BO656" s="80"/>
      <c r="BP656" s="80"/>
      <c r="BQ656" s="80"/>
      <c r="BR656" s="80"/>
      <c r="BS656" s="80"/>
      <c r="BT656" s="80"/>
      <c r="BU656" s="80"/>
      <c r="BV656" s="80"/>
      <c r="BW656" s="80"/>
      <c r="BX656" s="80"/>
      <c r="BY656" s="80"/>
      <c r="BZ656" s="80"/>
      <c r="CA656" s="80"/>
      <c r="CB656" s="80"/>
      <c r="CC656" s="80"/>
      <c r="CD656" s="80"/>
      <c r="CE656" s="80"/>
      <c r="CF656" s="80"/>
      <c r="CG656" s="80"/>
      <c r="CH656" s="80"/>
      <c r="CI656" s="80"/>
      <c r="CJ656" s="80"/>
      <c r="CK656" s="80"/>
      <c r="CL656" s="80"/>
      <c r="CM656" s="80"/>
      <c r="CN656" s="80"/>
      <c r="CO656" s="80"/>
      <c r="CP656" s="80"/>
      <c r="CQ656" s="80"/>
      <c r="CR656" s="80"/>
      <c r="CS656" s="80"/>
      <c r="CT656" s="80"/>
      <c r="CU656" s="80"/>
      <c r="CV656" s="80"/>
      <c r="CW656" s="80"/>
      <c r="CX656" s="80"/>
      <c r="CY656" s="80"/>
      <c r="CZ656" s="80"/>
      <c r="DA656" s="80"/>
      <c r="DB656" s="80"/>
      <c r="DC656" s="80"/>
      <c r="DD656" s="80"/>
      <c r="DE656" s="80"/>
      <c r="DF656" s="80"/>
      <c r="DG656" s="80"/>
      <c r="DH656" s="80"/>
      <c r="DI656" s="80"/>
      <c r="DJ656" s="80"/>
      <c r="DK656" s="80"/>
      <c r="DL656" s="80"/>
      <c r="DM656" s="80"/>
      <c r="DN656" s="80"/>
      <c r="DO656" s="80"/>
      <c r="DP656" s="80"/>
      <c r="DQ656" s="80"/>
      <c r="DR656" s="80"/>
      <c r="DS656" s="80"/>
      <c r="DT656" s="80"/>
      <c r="DU656" s="80"/>
      <c r="DV656" s="80"/>
      <c r="DW656" s="80"/>
      <c r="DX656" s="80"/>
      <c r="DY656" s="80"/>
      <c r="DZ656" s="80"/>
      <c r="EA656" s="80"/>
      <c r="EB656" s="80"/>
      <c r="EC656" s="80"/>
      <c r="ED656" s="80"/>
      <c r="EE656" s="80"/>
      <c r="EF656" s="80"/>
      <c r="EG656" s="80"/>
      <c r="EH656" s="80"/>
      <c r="EI656" s="80"/>
      <c r="EJ656" s="80"/>
      <c r="EK656" s="80"/>
      <c r="EL656" s="80"/>
      <c r="EM656" s="80"/>
      <c r="EN656" s="80"/>
      <c r="EO656" s="80"/>
      <c r="EP656" s="80"/>
      <c r="EQ656" s="80"/>
      <c r="ER656" s="80"/>
      <c r="ES656" s="80"/>
      <c r="ET656" s="80"/>
      <c r="EU656" s="80"/>
      <c r="EV656" s="80"/>
      <c r="EW656" s="80"/>
      <c r="EX656" s="80"/>
      <c r="EY656" s="80"/>
      <c r="EZ656" s="80"/>
      <c r="FA656" s="80"/>
      <c r="FB656" s="80"/>
      <c r="FC656" s="80"/>
      <c r="FD656" s="80"/>
      <c r="FE656" s="80"/>
      <c r="FF656" s="80"/>
      <c r="FG656" s="80"/>
      <c r="FH656" s="80"/>
      <c r="FI656" s="80"/>
      <c r="FJ656" s="80"/>
      <c r="FK656" s="80"/>
      <c r="FL656" s="80"/>
      <c r="FM656" s="80"/>
      <c r="FN656" s="80"/>
      <c r="FO656" s="80"/>
      <c r="FP656" s="80"/>
      <c r="FQ656" s="80"/>
      <c r="FR656" s="80"/>
      <c r="FS656" s="80"/>
      <c r="FT656" s="80"/>
      <c r="FU656" s="80"/>
      <c r="FV656" s="80"/>
      <c r="FW656" s="80"/>
      <c r="FX656" s="80"/>
      <c r="FY656" s="80"/>
      <c r="FZ656" s="80"/>
      <c r="GA656" s="80"/>
      <c r="GB656" s="80"/>
      <c r="GC656" s="80"/>
      <c r="GD656" s="80"/>
      <c r="GE656" s="80"/>
      <c r="GF656" s="80"/>
      <c r="GG656" s="80"/>
      <c r="GH656" s="80"/>
      <c r="GI656" s="80"/>
      <c r="GJ656" s="80"/>
      <c r="GK656" s="80"/>
      <c r="GL656" s="80"/>
      <c r="GM656" s="80"/>
      <c r="GN656" s="80"/>
      <c r="GO656" s="80"/>
      <c r="GP656" s="80"/>
      <c r="GQ656" s="80"/>
      <c r="GR656" s="80"/>
      <c r="GS656" s="80"/>
      <c r="GT656" s="80"/>
      <c r="GU656" s="80"/>
      <c r="GV656" s="80"/>
      <c r="GW656" s="80"/>
      <c r="GX656" s="80"/>
      <c r="GY656" s="80"/>
      <c r="GZ656" s="80"/>
      <c r="HA656" s="80"/>
      <c r="HB656" s="80"/>
      <c r="HC656" s="80"/>
      <c r="HD656" s="80"/>
      <c r="HE656" s="80"/>
      <c r="HF656" s="80"/>
      <c r="HG656" s="80"/>
      <c r="HH656" s="80"/>
      <c r="HI656" s="80"/>
      <c r="HJ656" s="80"/>
      <c r="HK656" s="80"/>
      <c r="HL656" s="80"/>
      <c r="HM656" s="80"/>
      <c r="HN656" s="78"/>
      <c r="HO656" s="79"/>
      <c r="HP656" s="79"/>
      <c r="HQ656" s="79"/>
      <c r="HR656" s="79"/>
      <c r="HS656" s="79"/>
      <c r="HT656" s="132"/>
    </row>
    <row r="657" spans="1:228" s="77" customFormat="1" ht="47.25" x14ac:dyDescent="0.25">
      <c r="A657" s="78" t="s">
        <v>1110</v>
      </c>
      <c r="B657" s="79" t="s">
        <v>76</v>
      </c>
      <c r="C657" s="79" t="s">
        <v>18</v>
      </c>
      <c r="D657" s="79" t="s">
        <v>25</v>
      </c>
      <c r="E657" s="79" t="s">
        <v>416</v>
      </c>
      <c r="F657" s="79" t="s">
        <v>9</v>
      </c>
      <c r="G657" s="316">
        <f t="shared" ref="G657:T657" si="334">G658+G661</f>
        <v>9285.2000000000007</v>
      </c>
      <c r="H657" s="316">
        <f>H658+H661</f>
        <v>0</v>
      </c>
      <c r="I657" s="338">
        <f t="shared" si="334"/>
        <v>9274.6</v>
      </c>
      <c r="J657" s="338">
        <f>J658+J661</f>
        <v>0</v>
      </c>
      <c r="K657" s="408">
        <f t="shared" si="334"/>
        <v>0</v>
      </c>
      <c r="L657" s="408">
        <f t="shared" si="334"/>
        <v>0</v>
      </c>
      <c r="M657" s="322">
        <f t="shared" si="334"/>
        <v>0</v>
      </c>
      <c r="N657" s="322">
        <f t="shared" si="334"/>
        <v>0</v>
      </c>
      <c r="O657" s="312">
        <f t="shared" si="334"/>
        <v>0</v>
      </c>
      <c r="P657" s="312">
        <f t="shared" si="334"/>
        <v>0</v>
      </c>
      <c r="Q657" s="322">
        <f t="shared" si="334"/>
        <v>0</v>
      </c>
      <c r="R657" s="322">
        <f t="shared" si="334"/>
        <v>0</v>
      </c>
      <c r="S657" s="312">
        <f t="shared" si="334"/>
        <v>0</v>
      </c>
      <c r="T657" s="312">
        <f t="shared" si="334"/>
        <v>0</v>
      </c>
      <c r="U657" s="132">
        <f t="shared" si="323"/>
        <v>9285.2000000000007</v>
      </c>
      <c r="V657" s="132">
        <f t="shared" si="324"/>
        <v>9274.6</v>
      </c>
      <c r="W657" s="80"/>
      <c r="X657" s="80"/>
      <c r="Y657" s="80"/>
      <c r="Z657" s="80"/>
      <c r="AA657" s="80"/>
      <c r="AB657" s="80"/>
      <c r="AC657" s="80"/>
      <c r="AD657" s="80"/>
      <c r="AE657" s="80"/>
      <c r="AF657" s="80"/>
      <c r="AG657" s="80"/>
      <c r="AH657" s="80"/>
      <c r="AI657" s="80"/>
      <c r="AJ657" s="80"/>
      <c r="AK657" s="80"/>
      <c r="AL657" s="80"/>
      <c r="AM657" s="80"/>
      <c r="AN657" s="80"/>
      <c r="AO657" s="80"/>
      <c r="AP657" s="80"/>
      <c r="AQ657" s="80"/>
      <c r="AR657" s="80"/>
      <c r="AS657" s="80"/>
      <c r="AT657" s="80"/>
      <c r="AU657" s="80"/>
      <c r="AV657" s="80"/>
      <c r="AW657" s="80"/>
      <c r="AX657" s="80"/>
      <c r="AY657" s="80"/>
      <c r="AZ657" s="80"/>
      <c r="BA657" s="80"/>
      <c r="BB657" s="80"/>
      <c r="BC657" s="80"/>
      <c r="BD657" s="80"/>
      <c r="BE657" s="80"/>
      <c r="BF657" s="80"/>
      <c r="BG657" s="80"/>
      <c r="BH657" s="80"/>
      <c r="BI657" s="80"/>
      <c r="BJ657" s="80"/>
      <c r="BK657" s="80"/>
      <c r="BL657" s="80"/>
      <c r="BM657" s="80"/>
      <c r="BN657" s="80"/>
      <c r="BO657" s="80"/>
      <c r="BP657" s="80"/>
      <c r="BQ657" s="80"/>
      <c r="BR657" s="80"/>
      <c r="BS657" s="80"/>
      <c r="BT657" s="80"/>
      <c r="BU657" s="80"/>
      <c r="BV657" s="80"/>
      <c r="BW657" s="80"/>
      <c r="BX657" s="80"/>
      <c r="BY657" s="80"/>
      <c r="BZ657" s="80"/>
      <c r="CA657" s="80"/>
      <c r="CB657" s="80"/>
      <c r="CC657" s="80"/>
      <c r="CD657" s="80"/>
      <c r="CE657" s="80"/>
      <c r="CF657" s="80"/>
      <c r="CG657" s="80"/>
      <c r="CH657" s="80"/>
      <c r="CI657" s="80"/>
      <c r="CJ657" s="80"/>
      <c r="CK657" s="80"/>
      <c r="CL657" s="80"/>
      <c r="CM657" s="80"/>
      <c r="CN657" s="80"/>
      <c r="CO657" s="80"/>
      <c r="CP657" s="80"/>
      <c r="CQ657" s="80"/>
      <c r="CR657" s="80"/>
      <c r="CS657" s="80"/>
      <c r="CT657" s="80"/>
      <c r="CU657" s="80"/>
      <c r="CV657" s="80"/>
      <c r="CW657" s="80"/>
      <c r="CX657" s="80"/>
      <c r="CY657" s="80"/>
      <c r="CZ657" s="80"/>
      <c r="DA657" s="80"/>
      <c r="DB657" s="80"/>
      <c r="DC657" s="80"/>
      <c r="DD657" s="80"/>
      <c r="DE657" s="80"/>
      <c r="DF657" s="80"/>
      <c r="DG657" s="80"/>
      <c r="DH657" s="80"/>
      <c r="DI657" s="80"/>
      <c r="DJ657" s="80"/>
      <c r="DK657" s="80"/>
      <c r="DL657" s="80"/>
      <c r="DM657" s="80"/>
      <c r="DN657" s="80"/>
      <c r="DO657" s="80"/>
      <c r="DP657" s="80"/>
      <c r="DQ657" s="80"/>
      <c r="DR657" s="80"/>
      <c r="DS657" s="80"/>
      <c r="DT657" s="80"/>
      <c r="DU657" s="80"/>
      <c r="DV657" s="80"/>
      <c r="DW657" s="80"/>
      <c r="DX657" s="80"/>
      <c r="DY657" s="80"/>
      <c r="DZ657" s="80"/>
      <c r="EA657" s="80"/>
      <c r="EB657" s="80"/>
      <c r="EC657" s="80"/>
      <c r="ED657" s="80"/>
      <c r="EE657" s="80"/>
      <c r="EF657" s="80"/>
      <c r="EG657" s="80"/>
      <c r="EH657" s="80"/>
      <c r="EI657" s="80"/>
      <c r="EJ657" s="80"/>
      <c r="EK657" s="80"/>
      <c r="EL657" s="80"/>
      <c r="EM657" s="80"/>
      <c r="EN657" s="80"/>
      <c r="EO657" s="80"/>
      <c r="EP657" s="80"/>
      <c r="EQ657" s="80"/>
      <c r="ER657" s="80"/>
      <c r="ES657" s="80"/>
      <c r="ET657" s="80"/>
      <c r="EU657" s="80"/>
      <c r="EV657" s="80"/>
      <c r="EW657" s="80"/>
      <c r="EX657" s="80"/>
      <c r="EY657" s="80"/>
      <c r="EZ657" s="80"/>
      <c r="FA657" s="80"/>
      <c r="FB657" s="80"/>
      <c r="FC657" s="80"/>
      <c r="FD657" s="80"/>
      <c r="FE657" s="80"/>
      <c r="FF657" s="80"/>
      <c r="FG657" s="80"/>
      <c r="FH657" s="80"/>
      <c r="FI657" s="80"/>
      <c r="FJ657" s="80"/>
      <c r="FK657" s="80"/>
      <c r="FL657" s="80"/>
      <c r="FM657" s="80"/>
      <c r="FN657" s="80"/>
      <c r="FO657" s="80"/>
      <c r="FP657" s="80"/>
      <c r="FQ657" s="80"/>
      <c r="FR657" s="80"/>
      <c r="FS657" s="80"/>
      <c r="FT657" s="80"/>
      <c r="FU657" s="80"/>
      <c r="FV657" s="80"/>
      <c r="FW657" s="80"/>
      <c r="FX657" s="80"/>
      <c r="FY657" s="80"/>
      <c r="FZ657" s="80"/>
      <c r="GA657" s="80"/>
      <c r="GB657" s="80"/>
      <c r="GC657" s="80"/>
      <c r="GD657" s="80"/>
      <c r="GE657" s="80"/>
      <c r="GF657" s="80"/>
      <c r="GG657" s="80"/>
      <c r="GH657" s="80"/>
      <c r="GI657" s="80"/>
      <c r="GJ657" s="80"/>
      <c r="GK657" s="80"/>
      <c r="GL657" s="80"/>
      <c r="GM657" s="80"/>
      <c r="GN657" s="80"/>
      <c r="GO657" s="80"/>
      <c r="GP657" s="80"/>
      <c r="GQ657" s="78"/>
      <c r="GR657" s="79"/>
      <c r="GS657" s="79"/>
      <c r="GT657" s="79"/>
      <c r="GU657" s="79"/>
      <c r="GV657" s="79"/>
      <c r="GW657" s="132"/>
      <c r="HN657" s="78"/>
      <c r="HO657" s="79"/>
      <c r="HP657" s="79"/>
      <c r="HQ657" s="79"/>
      <c r="HR657" s="79"/>
      <c r="HS657" s="79"/>
      <c r="HT657" s="132"/>
    </row>
    <row r="658" spans="1:228" s="77" customFormat="1" ht="63" x14ac:dyDescent="0.25">
      <c r="A658" s="78" t="s">
        <v>645</v>
      </c>
      <c r="B658" s="79" t="s">
        <v>76</v>
      </c>
      <c r="C658" s="79" t="s">
        <v>18</v>
      </c>
      <c r="D658" s="79" t="s">
        <v>25</v>
      </c>
      <c r="E658" s="79" t="s">
        <v>456</v>
      </c>
      <c r="F658" s="79" t="s">
        <v>9</v>
      </c>
      <c r="G658" s="316">
        <f t="shared" ref="G658:T658" si="335">G659+G660</f>
        <v>9257</v>
      </c>
      <c r="H658" s="316">
        <f>H659+H660</f>
        <v>0</v>
      </c>
      <c r="I658" s="338">
        <f t="shared" si="335"/>
        <v>9257</v>
      </c>
      <c r="J658" s="338">
        <f>J659+J660</f>
        <v>0</v>
      </c>
      <c r="K658" s="408">
        <f t="shared" si="335"/>
        <v>0</v>
      </c>
      <c r="L658" s="408">
        <f t="shared" si="335"/>
        <v>0</v>
      </c>
      <c r="M658" s="322">
        <f t="shared" si="335"/>
        <v>0</v>
      </c>
      <c r="N658" s="322">
        <f t="shared" si="335"/>
        <v>0</v>
      </c>
      <c r="O658" s="312">
        <f t="shared" si="335"/>
        <v>0</v>
      </c>
      <c r="P658" s="312">
        <f t="shared" si="335"/>
        <v>0</v>
      </c>
      <c r="Q658" s="322">
        <f t="shared" si="335"/>
        <v>0</v>
      </c>
      <c r="R658" s="322">
        <f t="shared" si="335"/>
        <v>0</v>
      </c>
      <c r="S658" s="312">
        <f t="shared" si="335"/>
        <v>0</v>
      </c>
      <c r="T658" s="312">
        <f t="shared" si="335"/>
        <v>0</v>
      </c>
      <c r="U658" s="132">
        <f t="shared" si="323"/>
        <v>9257</v>
      </c>
      <c r="V658" s="132">
        <f t="shared" si="324"/>
        <v>9257</v>
      </c>
      <c r="HN658" s="74"/>
      <c r="HO658" s="75"/>
      <c r="HP658" s="75"/>
      <c r="HQ658" s="75"/>
      <c r="HR658" s="75"/>
      <c r="HS658" s="75"/>
      <c r="HT658" s="131"/>
    </row>
    <row r="659" spans="1:228" s="77" customFormat="1" ht="31.5" x14ac:dyDescent="0.25">
      <c r="A659" s="74" t="s">
        <v>124</v>
      </c>
      <c r="B659" s="75" t="s">
        <v>76</v>
      </c>
      <c r="C659" s="75" t="s">
        <v>18</v>
      </c>
      <c r="D659" s="75" t="s">
        <v>25</v>
      </c>
      <c r="E659" s="75" t="s">
        <v>456</v>
      </c>
      <c r="F659" s="75" t="s">
        <v>117</v>
      </c>
      <c r="G659" s="311">
        <v>181</v>
      </c>
      <c r="H659" s="311"/>
      <c r="I659" s="320">
        <v>181</v>
      </c>
      <c r="J659" s="320"/>
      <c r="K659" s="409"/>
      <c r="L659" s="409"/>
      <c r="M659" s="323"/>
      <c r="N659" s="323"/>
      <c r="O659" s="313"/>
      <c r="P659" s="313"/>
      <c r="Q659" s="323"/>
      <c r="R659" s="323"/>
      <c r="S659" s="313"/>
      <c r="T659" s="313"/>
      <c r="U659" s="131">
        <f t="shared" si="323"/>
        <v>181</v>
      </c>
      <c r="V659" s="131">
        <f t="shared" si="324"/>
        <v>181</v>
      </c>
      <c r="W659" s="80"/>
      <c r="X659" s="80"/>
      <c r="Y659" s="80"/>
      <c r="Z659" s="80"/>
      <c r="AA659" s="80"/>
      <c r="AB659" s="80"/>
      <c r="AC659" s="80"/>
      <c r="AD659" s="80"/>
      <c r="AE659" s="80"/>
      <c r="AF659" s="80"/>
      <c r="AG659" s="80"/>
      <c r="AH659" s="80"/>
      <c r="AI659" s="80"/>
      <c r="AJ659" s="80"/>
      <c r="AK659" s="80"/>
      <c r="AL659" s="80"/>
      <c r="AM659" s="80"/>
      <c r="AN659" s="80"/>
      <c r="AO659" s="80"/>
      <c r="AP659" s="80"/>
      <c r="AQ659" s="80"/>
      <c r="AR659" s="80"/>
      <c r="AS659" s="80"/>
      <c r="AT659" s="80"/>
      <c r="AU659" s="80"/>
      <c r="AV659" s="80"/>
      <c r="AW659" s="80"/>
      <c r="AX659" s="80"/>
      <c r="AY659" s="80"/>
      <c r="AZ659" s="80"/>
      <c r="BA659" s="80"/>
      <c r="BB659" s="80"/>
      <c r="BC659" s="80"/>
      <c r="BD659" s="80"/>
      <c r="BE659" s="80"/>
      <c r="BF659" s="80"/>
      <c r="BG659" s="80"/>
      <c r="BH659" s="80"/>
      <c r="BI659" s="80"/>
      <c r="BJ659" s="80"/>
      <c r="BK659" s="80"/>
      <c r="BL659" s="80"/>
      <c r="BM659" s="80"/>
      <c r="BN659" s="80"/>
      <c r="BO659" s="80"/>
      <c r="BP659" s="80"/>
      <c r="BQ659" s="80"/>
      <c r="BR659" s="80"/>
      <c r="BS659" s="80"/>
      <c r="BT659" s="80"/>
      <c r="BU659" s="80"/>
      <c r="BV659" s="80"/>
      <c r="BW659" s="80"/>
      <c r="BX659" s="80"/>
      <c r="BY659" s="80"/>
      <c r="BZ659" s="80"/>
      <c r="CA659" s="80"/>
      <c r="CB659" s="80"/>
      <c r="CC659" s="80"/>
      <c r="CD659" s="80"/>
      <c r="CE659" s="80"/>
      <c r="CF659" s="80"/>
      <c r="CG659" s="80"/>
      <c r="CH659" s="80"/>
      <c r="CI659" s="80"/>
      <c r="CJ659" s="80"/>
      <c r="CK659" s="80"/>
      <c r="CL659" s="80"/>
      <c r="CM659" s="80"/>
      <c r="CN659" s="80"/>
      <c r="CO659" s="80"/>
      <c r="CP659" s="80"/>
      <c r="CQ659" s="80"/>
      <c r="CR659" s="80"/>
      <c r="CS659" s="80"/>
      <c r="CT659" s="80"/>
      <c r="CU659" s="80"/>
      <c r="CV659" s="80"/>
      <c r="CW659" s="80"/>
      <c r="CX659" s="80"/>
      <c r="CY659" s="80"/>
      <c r="CZ659" s="80"/>
      <c r="DA659" s="80"/>
      <c r="DB659" s="80"/>
      <c r="DC659" s="80"/>
      <c r="DD659" s="80"/>
      <c r="DE659" s="80"/>
      <c r="DF659" s="80"/>
      <c r="DG659" s="80"/>
      <c r="DH659" s="80"/>
      <c r="DI659" s="80"/>
      <c r="DJ659" s="80"/>
      <c r="DK659" s="80"/>
      <c r="DL659" s="80"/>
      <c r="DM659" s="80"/>
      <c r="DN659" s="80"/>
      <c r="DO659" s="80"/>
      <c r="DP659" s="80"/>
      <c r="DQ659" s="80"/>
      <c r="DR659" s="80"/>
      <c r="DS659" s="80"/>
      <c r="DT659" s="80"/>
      <c r="DU659" s="80"/>
      <c r="DV659" s="80"/>
      <c r="DW659" s="80"/>
      <c r="DX659" s="80"/>
      <c r="DY659" s="80"/>
      <c r="DZ659" s="80"/>
      <c r="EA659" s="80"/>
      <c r="EB659" s="80"/>
      <c r="EC659" s="80"/>
      <c r="ED659" s="80"/>
      <c r="EE659" s="80"/>
      <c r="EF659" s="80"/>
      <c r="EG659" s="80"/>
      <c r="EH659" s="80"/>
      <c r="EI659" s="80"/>
      <c r="EJ659" s="80"/>
      <c r="EK659" s="80"/>
      <c r="EL659" s="80"/>
      <c r="EM659" s="80"/>
      <c r="EN659" s="80"/>
      <c r="EO659" s="80"/>
      <c r="EP659" s="80"/>
      <c r="EQ659" s="80"/>
      <c r="ER659" s="80"/>
      <c r="ES659" s="80"/>
      <c r="ET659" s="80"/>
      <c r="EU659" s="80"/>
      <c r="EV659" s="80"/>
      <c r="EW659" s="80"/>
      <c r="EX659" s="80"/>
      <c r="EY659" s="80"/>
      <c r="EZ659" s="80"/>
      <c r="FA659" s="80"/>
      <c r="FB659" s="80"/>
      <c r="FC659" s="80"/>
      <c r="FD659" s="80"/>
      <c r="FE659" s="80"/>
      <c r="FF659" s="80"/>
      <c r="FG659" s="80"/>
      <c r="FH659" s="80"/>
      <c r="FI659" s="80"/>
      <c r="FJ659" s="80"/>
      <c r="FK659" s="80"/>
      <c r="FL659" s="80"/>
      <c r="FM659" s="80"/>
      <c r="FN659" s="80"/>
      <c r="FO659" s="80"/>
      <c r="FP659" s="80"/>
      <c r="FQ659" s="80"/>
      <c r="FR659" s="80"/>
      <c r="FS659" s="80"/>
      <c r="FT659" s="80"/>
      <c r="FU659" s="80"/>
      <c r="FV659" s="80"/>
      <c r="FW659" s="80"/>
      <c r="FX659" s="80"/>
      <c r="FY659" s="80"/>
      <c r="FZ659" s="80"/>
      <c r="GA659" s="80"/>
      <c r="GB659" s="80"/>
      <c r="GC659" s="80"/>
      <c r="GD659" s="80"/>
      <c r="GE659" s="80"/>
      <c r="GF659" s="80"/>
      <c r="GG659" s="80"/>
      <c r="GH659" s="80"/>
      <c r="GI659" s="80"/>
      <c r="GJ659" s="80"/>
      <c r="GK659" s="80"/>
      <c r="GL659" s="80"/>
      <c r="GM659" s="80"/>
      <c r="GN659" s="80"/>
      <c r="GO659" s="78"/>
      <c r="GP659" s="79"/>
      <c r="GQ659" s="79"/>
      <c r="GR659" s="79"/>
      <c r="GS659" s="79"/>
      <c r="GT659" s="79"/>
      <c r="GU659" s="132"/>
      <c r="HL659" s="78"/>
      <c r="HM659" s="79"/>
      <c r="HN659" s="79"/>
      <c r="HO659" s="79"/>
      <c r="HP659" s="79"/>
      <c r="HQ659" s="79"/>
      <c r="HR659" s="132"/>
    </row>
    <row r="660" spans="1:228" s="77" customFormat="1" x14ac:dyDescent="0.25">
      <c r="A660" s="74" t="s">
        <v>125</v>
      </c>
      <c r="B660" s="75" t="s">
        <v>76</v>
      </c>
      <c r="C660" s="75" t="s">
        <v>18</v>
      </c>
      <c r="D660" s="75" t="s">
        <v>25</v>
      </c>
      <c r="E660" s="75" t="s">
        <v>456</v>
      </c>
      <c r="F660" s="75" t="s">
        <v>118</v>
      </c>
      <c r="G660" s="311">
        <v>9076</v>
      </c>
      <c r="H660" s="311"/>
      <c r="I660" s="320">
        <v>9076</v>
      </c>
      <c r="J660" s="320"/>
      <c r="K660" s="409"/>
      <c r="L660" s="409"/>
      <c r="M660" s="323"/>
      <c r="N660" s="323"/>
      <c r="O660" s="313"/>
      <c r="P660" s="313"/>
      <c r="Q660" s="323"/>
      <c r="R660" s="323"/>
      <c r="S660" s="313"/>
      <c r="T660" s="313"/>
      <c r="U660" s="131">
        <f t="shared" si="323"/>
        <v>9076</v>
      </c>
      <c r="V660" s="131">
        <f t="shared" si="324"/>
        <v>9076</v>
      </c>
      <c r="HL660" s="74"/>
      <c r="HM660" s="75"/>
      <c r="HN660" s="75"/>
      <c r="HO660" s="75"/>
      <c r="HP660" s="75"/>
      <c r="HQ660" s="75"/>
      <c r="HR660" s="131"/>
    </row>
    <row r="661" spans="1:228" s="80" customFormat="1" ht="78.75" x14ac:dyDescent="0.25">
      <c r="A661" s="78" t="s">
        <v>1109</v>
      </c>
      <c r="B661" s="79" t="s">
        <v>76</v>
      </c>
      <c r="C661" s="79" t="s">
        <v>18</v>
      </c>
      <c r="D661" s="79" t="s">
        <v>25</v>
      </c>
      <c r="E661" s="79" t="s">
        <v>457</v>
      </c>
      <c r="F661" s="79" t="s">
        <v>9</v>
      </c>
      <c r="G661" s="316">
        <f t="shared" ref="G661:T662" si="336">G662</f>
        <v>28.2</v>
      </c>
      <c r="H661" s="316">
        <f t="shared" si="336"/>
        <v>0</v>
      </c>
      <c r="I661" s="338">
        <f t="shared" si="336"/>
        <v>17.600000000000001</v>
      </c>
      <c r="J661" s="338">
        <f t="shared" si="336"/>
        <v>0</v>
      </c>
      <c r="K661" s="408">
        <f t="shared" si="336"/>
        <v>0</v>
      </c>
      <c r="L661" s="408">
        <f t="shared" si="336"/>
        <v>0</v>
      </c>
      <c r="M661" s="322">
        <f t="shared" si="336"/>
        <v>0</v>
      </c>
      <c r="N661" s="322">
        <f t="shared" si="336"/>
        <v>0</v>
      </c>
      <c r="O661" s="312">
        <f t="shared" si="336"/>
        <v>0</v>
      </c>
      <c r="P661" s="312">
        <f t="shared" si="336"/>
        <v>0</v>
      </c>
      <c r="Q661" s="322">
        <f t="shared" si="336"/>
        <v>0</v>
      </c>
      <c r="R661" s="322">
        <f t="shared" si="336"/>
        <v>0</v>
      </c>
      <c r="S661" s="312">
        <f t="shared" si="336"/>
        <v>0</v>
      </c>
      <c r="T661" s="312">
        <f t="shared" si="336"/>
        <v>0</v>
      </c>
      <c r="U661" s="132">
        <f t="shared" si="323"/>
        <v>28.2</v>
      </c>
      <c r="V661" s="132">
        <f t="shared" si="324"/>
        <v>17.600000000000001</v>
      </c>
      <c r="HL661" s="195"/>
      <c r="HM661" s="400"/>
      <c r="HN661" s="400"/>
      <c r="HO661" s="400"/>
      <c r="HP661" s="400"/>
      <c r="HQ661" s="400"/>
      <c r="HR661" s="196"/>
    </row>
    <row r="662" spans="1:228" s="77" customFormat="1" x14ac:dyDescent="0.25">
      <c r="A662" s="78" t="s">
        <v>462</v>
      </c>
      <c r="B662" s="79" t="s">
        <v>76</v>
      </c>
      <c r="C662" s="79" t="s">
        <v>18</v>
      </c>
      <c r="D662" s="79" t="s">
        <v>25</v>
      </c>
      <c r="E662" s="79" t="s">
        <v>461</v>
      </c>
      <c r="F662" s="79" t="s">
        <v>9</v>
      </c>
      <c r="G662" s="316">
        <f t="shared" si="336"/>
        <v>28.2</v>
      </c>
      <c r="H662" s="316">
        <f t="shared" si="336"/>
        <v>0</v>
      </c>
      <c r="I662" s="338">
        <f t="shared" si="336"/>
        <v>17.600000000000001</v>
      </c>
      <c r="J662" s="338">
        <f t="shared" si="336"/>
        <v>0</v>
      </c>
      <c r="K662" s="408">
        <f t="shared" si="336"/>
        <v>0</v>
      </c>
      <c r="L662" s="408">
        <f t="shared" si="336"/>
        <v>0</v>
      </c>
      <c r="M662" s="322">
        <f t="shared" si="336"/>
        <v>0</v>
      </c>
      <c r="N662" s="322">
        <f t="shared" si="336"/>
        <v>0</v>
      </c>
      <c r="O662" s="312">
        <f t="shared" si="336"/>
        <v>0</v>
      </c>
      <c r="P662" s="312">
        <f t="shared" si="336"/>
        <v>0</v>
      </c>
      <c r="Q662" s="322">
        <f t="shared" si="336"/>
        <v>0</v>
      </c>
      <c r="R662" s="322">
        <f t="shared" si="336"/>
        <v>0</v>
      </c>
      <c r="S662" s="312">
        <f t="shared" si="336"/>
        <v>0</v>
      </c>
      <c r="T662" s="312">
        <f t="shared" si="336"/>
        <v>0</v>
      </c>
      <c r="U662" s="132">
        <f t="shared" si="323"/>
        <v>28.2</v>
      </c>
      <c r="V662" s="132">
        <f t="shared" si="324"/>
        <v>17.600000000000001</v>
      </c>
      <c r="HL662" s="192"/>
      <c r="HM662" s="193"/>
      <c r="HN662" s="193"/>
      <c r="HO662" s="193"/>
      <c r="HP662" s="193"/>
      <c r="HQ662" s="193"/>
      <c r="HR662" s="194"/>
    </row>
    <row r="663" spans="1:228" s="80" customFormat="1" ht="31.5" x14ac:dyDescent="0.25">
      <c r="A663" s="74" t="s">
        <v>124</v>
      </c>
      <c r="B663" s="75" t="s">
        <v>76</v>
      </c>
      <c r="C663" s="75" t="s">
        <v>18</v>
      </c>
      <c r="D663" s="75" t="s">
        <v>25</v>
      </c>
      <c r="E663" s="75" t="s">
        <v>461</v>
      </c>
      <c r="F663" s="75" t="s">
        <v>117</v>
      </c>
      <c r="G663" s="311">
        <v>28.2</v>
      </c>
      <c r="H663" s="311"/>
      <c r="I663" s="320">
        <v>17.600000000000001</v>
      </c>
      <c r="J663" s="320"/>
      <c r="K663" s="409"/>
      <c r="L663" s="409"/>
      <c r="M663" s="323"/>
      <c r="N663" s="323"/>
      <c r="O663" s="313"/>
      <c r="P663" s="313"/>
      <c r="Q663" s="323"/>
      <c r="R663" s="323"/>
      <c r="S663" s="313"/>
      <c r="T663" s="313"/>
      <c r="U663" s="131">
        <f t="shared" si="323"/>
        <v>28.2</v>
      </c>
      <c r="V663" s="131">
        <f t="shared" si="324"/>
        <v>17.600000000000001</v>
      </c>
      <c r="HL663" s="195"/>
      <c r="HM663" s="400"/>
      <c r="HN663" s="400"/>
      <c r="HO663" s="400"/>
      <c r="HP663" s="400"/>
      <c r="HQ663" s="400"/>
      <c r="HR663" s="196"/>
    </row>
    <row r="664" spans="1:228" s="77" customFormat="1" ht="15.75" customHeight="1" outlineLevel="1" x14ac:dyDescent="0.25">
      <c r="A664" s="78" t="s">
        <v>127</v>
      </c>
      <c r="B664" s="79" t="s">
        <v>76</v>
      </c>
      <c r="C664" s="79" t="s">
        <v>18</v>
      </c>
      <c r="D664" s="79" t="s">
        <v>25</v>
      </c>
      <c r="E664" s="79" t="s">
        <v>419</v>
      </c>
      <c r="F664" s="79" t="s">
        <v>9</v>
      </c>
      <c r="G664" s="311">
        <f t="shared" ref="G664:T665" si="337">G665</f>
        <v>0</v>
      </c>
      <c r="H664" s="311">
        <f t="shared" si="337"/>
        <v>0</v>
      </c>
      <c r="I664" s="320">
        <f t="shared" si="337"/>
        <v>0</v>
      </c>
      <c r="J664" s="320">
        <f t="shared" si="337"/>
        <v>0</v>
      </c>
      <c r="K664" s="407">
        <f t="shared" si="337"/>
        <v>0</v>
      </c>
      <c r="L664" s="407">
        <f t="shared" si="337"/>
        <v>0</v>
      </c>
      <c r="M664" s="321">
        <f t="shared" si="337"/>
        <v>0</v>
      </c>
      <c r="N664" s="321">
        <f t="shared" si="337"/>
        <v>0</v>
      </c>
      <c r="O664" s="310">
        <f t="shared" si="337"/>
        <v>0</v>
      </c>
      <c r="P664" s="310">
        <f t="shared" si="337"/>
        <v>0</v>
      </c>
      <c r="Q664" s="321">
        <f t="shared" si="337"/>
        <v>0</v>
      </c>
      <c r="R664" s="321">
        <f t="shared" si="337"/>
        <v>0</v>
      </c>
      <c r="S664" s="310">
        <f t="shared" si="337"/>
        <v>0</v>
      </c>
      <c r="T664" s="310">
        <f t="shared" si="337"/>
        <v>0</v>
      </c>
      <c r="U664" s="132">
        <f t="shared" si="323"/>
        <v>0</v>
      </c>
      <c r="V664" s="132">
        <f t="shared" si="324"/>
        <v>0</v>
      </c>
      <c r="HL664" s="192"/>
      <c r="HM664" s="193"/>
      <c r="HN664" s="193"/>
      <c r="HO664" s="193"/>
      <c r="HP664" s="193"/>
      <c r="HQ664" s="193"/>
      <c r="HR664" s="194"/>
    </row>
    <row r="665" spans="1:228" s="80" customFormat="1" ht="31.5" customHeight="1" outlineLevel="1" x14ac:dyDescent="0.25">
      <c r="A665" s="78" t="s">
        <v>364</v>
      </c>
      <c r="B665" s="79" t="s">
        <v>76</v>
      </c>
      <c r="C665" s="79" t="s">
        <v>18</v>
      </c>
      <c r="D665" s="79" t="s">
        <v>25</v>
      </c>
      <c r="E665" s="79" t="s">
        <v>420</v>
      </c>
      <c r="F665" s="79" t="s">
        <v>9</v>
      </c>
      <c r="G665" s="316">
        <f t="shared" si="337"/>
        <v>0</v>
      </c>
      <c r="H665" s="316">
        <f t="shared" si="337"/>
        <v>0</v>
      </c>
      <c r="I665" s="338">
        <f t="shared" si="337"/>
        <v>0</v>
      </c>
      <c r="J665" s="338">
        <f t="shared" si="337"/>
        <v>0</v>
      </c>
      <c r="K665" s="408">
        <f t="shared" si="337"/>
        <v>0</v>
      </c>
      <c r="L665" s="408">
        <f t="shared" si="337"/>
        <v>0</v>
      </c>
      <c r="M665" s="322">
        <f t="shared" si="337"/>
        <v>0</v>
      </c>
      <c r="N665" s="322">
        <f t="shared" si="337"/>
        <v>0</v>
      </c>
      <c r="O665" s="312">
        <f t="shared" si="337"/>
        <v>0</v>
      </c>
      <c r="P665" s="312">
        <f t="shared" si="337"/>
        <v>0</v>
      </c>
      <c r="Q665" s="322">
        <f t="shared" si="337"/>
        <v>0</v>
      </c>
      <c r="R665" s="322">
        <f t="shared" si="337"/>
        <v>0</v>
      </c>
      <c r="S665" s="312">
        <f t="shared" si="337"/>
        <v>0</v>
      </c>
      <c r="T665" s="312">
        <f t="shared" si="337"/>
        <v>0</v>
      </c>
      <c r="U665" s="132">
        <f t="shared" si="323"/>
        <v>0</v>
      </c>
      <c r="V665" s="132">
        <f t="shared" si="324"/>
        <v>0</v>
      </c>
    </row>
    <row r="666" spans="1:228" s="77" customFormat="1" ht="63" customHeight="1" outlineLevel="1" x14ac:dyDescent="0.25">
      <c r="A666" s="83" t="s">
        <v>115</v>
      </c>
      <c r="B666" s="75" t="s">
        <v>76</v>
      </c>
      <c r="C666" s="75" t="s">
        <v>18</v>
      </c>
      <c r="D666" s="75" t="s">
        <v>25</v>
      </c>
      <c r="E666" s="75" t="s">
        <v>420</v>
      </c>
      <c r="F666" s="75" t="s">
        <v>113</v>
      </c>
      <c r="G666" s="311"/>
      <c r="H666" s="311"/>
      <c r="I666" s="320"/>
      <c r="J666" s="320"/>
      <c r="K666" s="409"/>
      <c r="L666" s="409"/>
      <c r="M666" s="323"/>
      <c r="N666" s="323"/>
      <c r="O666" s="313"/>
      <c r="P666" s="313"/>
      <c r="Q666" s="323"/>
      <c r="R666" s="323"/>
      <c r="S666" s="313"/>
      <c r="T666" s="313"/>
      <c r="U666" s="131">
        <f t="shared" si="323"/>
        <v>0</v>
      </c>
      <c r="V666" s="131">
        <f t="shared" si="324"/>
        <v>0</v>
      </c>
    </row>
    <row r="667" spans="1:228" s="80" customFormat="1" ht="31.5" customHeight="1" outlineLevel="1" x14ac:dyDescent="0.25">
      <c r="A667" s="78" t="s">
        <v>568</v>
      </c>
      <c r="B667" s="79" t="s">
        <v>76</v>
      </c>
      <c r="C667" s="79" t="s">
        <v>18</v>
      </c>
      <c r="D667" s="79" t="s">
        <v>25</v>
      </c>
      <c r="E667" s="79" t="s">
        <v>421</v>
      </c>
      <c r="F667" s="79" t="s">
        <v>9</v>
      </c>
      <c r="G667" s="316">
        <f t="shared" ref="G667:T667" si="338">G668+G670+G672</f>
        <v>0</v>
      </c>
      <c r="H667" s="316">
        <f>H668+H670+H672</f>
        <v>0</v>
      </c>
      <c r="I667" s="338">
        <f t="shared" si="338"/>
        <v>0</v>
      </c>
      <c r="J667" s="338">
        <f>J668+J670+J672</f>
        <v>0</v>
      </c>
      <c r="K667" s="408">
        <f t="shared" si="338"/>
        <v>0</v>
      </c>
      <c r="L667" s="408">
        <f t="shared" si="338"/>
        <v>0</v>
      </c>
      <c r="M667" s="322">
        <f t="shared" si="338"/>
        <v>0</v>
      </c>
      <c r="N667" s="322">
        <f t="shared" si="338"/>
        <v>0</v>
      </c>
      <c r="O667" s="312">
        <f t="shared" si="338"/>
        <v>0</v>
      </c>
      <c r="P667" s="312">
        <f t="shared" si="338"/>
        <v>0</v>
      </c>
      <c r="Q667" s="322">
        <f t="shared" si="338"/>
        <v>0</v>
      </c>
      <c r="R667" s="322">
        <f t="shared" si="338"/>
        <v>0</v>
      </c>
      <c r="S667" s="312">
        <f t="shared" si="338"/>
        <v>0</v>
      </c>
      <c r="T667" s="312">
        <f t="shared" si="338"/>
        <v>0</v>
      </c>
      <c r="U667" s="132">
        <f t="shared" si="323"/>
        <v>0</v>
      </c>
      <c r="V667" s="132">
        <f t="shared" si="324"/>
        <v>0</v>
      </c>
    </row>
    <row r="668" spans="1:228" s="77" customFormat="1" ht="15.75" customHeight="1" outlineLevel="1" x14ac:dyDescent="0.25">
      <c r="A668" s="78" t="s">
        <v>26</v>
      </c>
      <c r="B668" s="79" t="s">
        <v>76</v>
      </c>
      <c r="C668" s="79" t="s">
        <v>18</v>
      </c>
      <c r="D668" s="79" t="s">
        <v>25</v>
      </c>
      <c r="E668" s="79" t="s">
        <v>422</v>
      </c>
      <c r="F668" s="79" t="s">
        <v>9</v>
      </c>
      <c r="G668" s="316">
        <f t="shared" ref="G668:T668" si="339">G669</f>
        <v>0</v>
      </c>
      <c r="H668" s="316">
        <f t="shared" si="339"/>
        <v>0</v>
      </c>
      <c r="I668" s="338">
        <f t="shared" si="339"/>
        <v>0</v>
      </c>
      <c r="J668" s="338">
        <f t="shared" si="339"/>
        <v>0</v>
      </c>
      <c r="K668" s="408">
        <f t="shared" si="339"/>
        <v>0</v>
      </c>
      <c r="L668" s="408">
        <f t="shared" si="339"/>
        <v>0</v>
      </c>
      <c r="M668" s="322">
        <f t="shared" si="339"/>
        <v>0</v>
      </c>
      <c r="N668" s="322">
        <f t="shared" si="339"/>
        <v>0</v>
      </c>
      <c r="O668" s="312">
        <f t="shared" si="339"/>
        <v>0</v>
      </c>
      <c r="P668" s="312">
        <f t="shared" si="339"/>
        <v>0</v>
      </c>
      <c r="Q668" s="322">
        <f t="shared" si="339"/>
        <v>0</v>
      </c>
      <c r="R668" s="322">
        <f t="shared" si="339"/>
        <v>0</v>
      </c>
      <c r="S668" s="312">
        <f t="shared" si="339"/>
        <v>0</v>
      </c>
      <c r="T668" s="312">
        <f t="shared" si="339"/>
        <v>0</v>
      </c>
      <c r="U668" s="132">
        <f t="shared" si="323"/>
        <v>0</v>
      </c>
      <c r="V668" s="132">
        <f t="shared" si="324"/>
        <v>0</v>
      </c>
    </row>
    <row r="669" spans="1:228" s="77" customFormat="1" ht="63" customHeight="1" outlineLevel="1" x14ac:dyDescent="0.25">
      <c r="A669" s="74" t="s">
        <v>115</v>
      </c>
      <c r="B669" s="75" t="s">
        <v>76</v>
      </c>
      <c r="C669" s="75" t="s">
        <v>18</v>
      </c>
      <c r="D669" s="75" t="s">
        <v>25</v>
      </c>
      <c r="E669" s="75" t="s">
        <v>422</v>
      </c>
      <c r="F669" s="75" t="s">
        <v>113</v>
      </c>
      <c r="G669" s="311"/>
      <c r="H669" s="311"/>
      <c r="I669" s="320"/>
      <c r="J669" s="320"/>
      <c r="K669" s="409"/>
      <c r="L669" s="409"/>
      <c r="M669" s="323"/>
      <c r="N669" s="323"/>
      <c r="O669" s="313"/>
      <c r="P669" s="313"/>
      <c r="Q669" s="323"/>
      <c r="R669" s="323"/>
      <c r="S669" s="313"/>
      <c r="T669" s="313"/>
      <c r="U669" s="131">
        <f t="shared" si="323"/>
        <v>0</v>
      </c>
      <c r="V669" s="131">
        <f t="shared" si="324"/>
        <v>0</v>
      </c>
    </row>
    <row r="670" spans="1:228" s="77" customFormat="1" ht="15.75" customHeight="1" outlineLevel="1" x14ac:dyDescent="0.25">
      <c r="A670" s="78" t="s">
        <v>129</v>
      </c>
      <c r="B670" s="79" t="s">
        <v>76</v>
      </c>
      <c r="C670" s="79" t="s">
        <v>18</v>
      </c>
      <c r="D670" s="79" t="s">
        <v>25</v>
      </c>
      <c r="E670" s="79" t="s">
        <v>430</v>
      </c>
      <c r="F670" s="79" t="s">
        <v>9</v>
      </c>
      <c r="G670" s="316">
        <f t="shared" ref="G670:T670" si="340">G671</f>
        <v>0</v>
      </c>
      <c r="H670" s="316">
        <f t="shared" si="340"/>
        <v>0</v>
      </c>
      <c r="I670" s="338">
        <f t="shared" si="340"/>
        <v>0</v>
      </c>
      <c r="J670" s="338">
        <f t="shared" si="340"/>
        <v>0</v>
      </c>
      <c r="K670" s="408">
        <f t="shared" si="340"/>
        <v>0</v>
      </c>
      <c r="L670" s="408">
        <f t="shared" si="340"/>
        <v>0</v>
      </c>
      <c r="M670" s="322">
        <f t="shared" si="340"/>
        <v>0</v>
      </c>
      <c r="N670" s="322">
        <f t="shared" si="340"/>
        <v>0</v>
      </c>
      <c r="O670" s="312">
        <f t="shared" si="340"/>
        <v>0</v>
      </c>
      <c r="P670" s="312">
        <f t="shared" si="340"/>
        <v>0</v>
      </c>
      <c r="Q670" s="322">
        <f t="shared" si="340"/>
        <v>0</v>
      </c>
      <c r="R670" s="322">
        <f t="shared" si="340"/>
        <v>0</v>
      </c>
      <c r="S670" s="312">
        <f t="shared" si="340"/>
        <v>0</v>
      </c>
      <c r="T670" s="312">
        <f t="shared" si="340"/>
        <v>0</v>
      </c>
      <c r="U670" s="132">
        <f t="shared" si="323"/>
        <v>0</v>
      </c>
      <c r="V670" s="132">
        <f t="shared" si="324"/>
        <v>0</v>
      </c>
    </row>
    <row r="671" spans="1:228" s="77" customFormat="1" ht="63" customHeight="1" outlineLevel="1" x14ac:dyDescent="0.25">
      <c r="A671" s="74" t="s">
        <v>115</v>
      </c>
      <c r="B671" s="75" t="s">
        <v>76</v>
      </c>
      <c r="C671" s="75" t="s">
        <v>18</v>
      </c>
      <c r="D671" s="75" t="s">
        <v>25</v>
      </c>
      <c r="E671" s="75" t="s">
        <v>430</v>
      </c>
      <c r="F671" s="75" t="s">
        <v>113</v>
      </c>
      <c r="G671" s="311"/>
      <c r="H671" s="311"/>
      <c r="I671" s="320"/>
      <c r="J671" s="320"/>
      <c r="K671" s="409"/>
      <c r="L671" s="409"/>
      <c r="M671" s="323"/>
      <c r="N671" s="323"/>
      <c r="O671" s="313"/>
      <c r="P671" s="313"/>
      <c r="Q671" s="323"/>
      <c r="R671" s="323"/>
      <c r="S671" s="313"/>
      <c r="T671" s="313"/>
      <c r="U671" s="131">
        <f t="shared" si="323"/>
        <v>0</v>
      </c>
      <c r="V671" s="131">
        <f t="shared" si="324"/>
        <v>0</v>
      </c>
    </row>
    <row r="672" spans="1:228" s="77" customFormat="1" ht="15.75" customHeight="1" outlineLevel="1" x14ac:dyDescent="0.25">
      <c r="A672" s="78" t="s">
        <v>354</v>
      </c>
      <c r="B672" s="79" t="s">
        <v>76</v>
      </c>
      <c r="C672" s="79" t="s">
        <v>18</v>
      </c>
      <c r="D672" s="79" t="s">
        <v>25</v>
      </c>
      <c r="E672" s="79" t="s">
        <v>431</v>
      </c>
      <c r="F672" s="79" t="s">
        <v>9</v>
      </c>
      <c r="G672" s="316">
        <f t="shared" ref="G672:T672" si="341">G673</f>
        <v>0</v>
      </c>
      <c r="H672" s="316">
        <f t="shared" si="341"/>
        <v>0</v>
      </c>
      <c r="I672" s="338">
        <f t="shared" si="341"/>
        <v>0</v>
      </c>
      <c r="J672" s="338">
        <f t="shared" si="341"/>
        <v>0</v>
      </c>
      <c r="K672" s="408">
        <f t="shared" si="341"/>
        <v>0</v>
      </c>
      <c r="L672" s="408">
        <f t="shared" si="341"/>
        <v>0</v>
      </c>
      <c r="M672" s="322">
        <f t="shared" si="341"/>
        <v>0</v>
      </c>
      <c r="N672" s="322">
        <f t="shared" si="341"/>
        <v>0</v>
      </c>
      <c r="O672" s="312">
        <f t="shared" si="341"/>
        <v>0</v>
      </c>
      <c r="P672" s="312">
        <f t="shared" si="341"/>
        <v>0</v>
      </c>
      <c r="Q672" s="322">
        <f t="shared" si="341"/>
        <v>0</v>
      </c>
      <c r="R672" s="322">
        <f t="shared" si="341"/>
        <v>0</v>
      </c>
      <c r="S672" s="312">
        <f t="shared" si="341"/>
        <v>0</v>
      </c>
      <c r="T672" s="312">
        <f t="shared" si="341"/>
        <v>0</v>
      </c>
      <c r="U672" s="132">
        <f t="shared" si="323"/>
        <v>0</v>
      </c>
      <c r="V672" s="132">
        <f t="shared" si="324"/>
        <v>0</v>
      </c>
    </row>
    <row r="673" spans="1:22" s="80" customFormat="1" ht="63" customHeight="1" outlineLevel="1" x14ac:dyDescent="0.25">
      <c r="A673" s="74" t="s">
        <v>115</v>
      </c>
      <c r="B673" s="75" t="s">
        <v>76</v>
      </c>
      <c r="C673" s="75" t="s">
        <v>18</v>
      </c>
      <c r="D673" s="75" t="s">
        <v>25</v>
      </c>
      <c r="E673" s="75" t="s">
        <v>431</v>
      </c>
      <c r="F673" s="75" t="s">
        <v>113</v>
      </c>
      <c r="G673" s="311"/>
      <c r="H673" s="311"/>
      <c r="I673" s="320"/>
      <c r="J673" s="320"/>
      <c r="K673" s="409"/>
      <c r="L673" s="409"/>
      <c r="M673" s="323"/>
      <c r="N673" s="323"/>
      <c r="O673" s="313"/>
      <c r="P673" s="313"/>
      <c r="Q673" s="323"/>
      <c r="R673" s="323"/>
      <c r="S673" s="313"/>
      <c r="T673" s="313"/>
      <c r="U673" s="131">
        <f t="shared" si="323"/>
        <v>0</v>
      </c>
      <c r="V673" s="131">
        <f t="shared" si="324"/>
        <v>0</v>
      </c>
    </row>
    <row r="674" spans="1:22" s="80" customFormat="1" ht="15.75" customHeight="1" outlineLevel="1" x14ac:dyDescent="0.25">
      <c r="A674" s="78" t="s">
        <v>201</v>
      </c>
      <c r="B674" s="79" t="s">
        <v>76</v>
      </c>
      <c r="C674" s="79" t="s">
        <v>18</v>
      </c>
      <c r="D674" s="79" t="s">
        <v>25</v>
      </c>
      <c r="E674" s="79" t="s">
        <v>817</v>
      </c>
      <c r="F674" s="79" t="s">
        <v>9</v>
      </c>
      <c r="G674" s="316">
        <f t="shared" ref="G674:T674" si="342">G675</f>
        <v>0</v>
      </c>
      <c r="H674" s="316">
        <f t="shared" si="342"/>
        <v>0</v>
      </c>
      <c r="I674" s="338">
        <f t="shared" si="342"/>
        <v>0</v>
      </c>
      <c r="J674" s="338">
        <f t="shared" si="342"/>
        <v>0</v>
      </c>
      <c r="K674" s="408">
        <f t="shared" si="342"/>
        <v>0</v>
      </c>
      <c r="L674" s="408">
        <f t="shared" si="342"/>
        <v>0</v>
      </c>
      <c r="M674" s="322">
        <f t="shared" si="342"/>
        <v>0</v>
      </c>
      <c r="N674" s="322">
        <f t="shared" si="342"/>
        <v>0</v>
      </c>
      <c r="O674" s="312">
        <f t="shared" si="342"/>
        <v>0</v>
      </c>
      <c r="P674" s="312">
        <f t="shared" si="342"/>
        <v>0</v>
      </c>
      <c r="Q674" s="322">
        <f t="shared" si="342"/>
        <v>0</v>
      </c>
      <c r="R674" s="322">
        <f t="shared" si="342"/>
        <v>0</v>
      </c>
      <c r="S674" s="312">
        <f t="shared" si="342"/>
        <v>0</v>
      </c>
      <c r="T674" s="312">
        <f t="shared" si="342"/>
        <v>0</v>
      </c>
      <c r="U674" s="132">
        <f t="shared" si="323"/>
        <v>0</v>
      </c>
      <c r="V674" s="132">
        <f t="shared" si="324"/>
        <v>0</v>
      </c>
    </row>
    <row r="675" spans="1:22" s="80" customFormat="1" ht="63" customHeight="1" outlineLevel="1" x14ac:dyDescent="0.25">
      <c r="A675" s="74" t="s">
        <v>115</v>
      </c>
      <c r="B675" s="75" t="s">
        <v>76</v>
      </c>
      <c r="C675" s="75" t="s">
        <v>18</v>
      </c>
      <c r="D675" s="75" t="s">
        <v>25</v>
      </c>
      <c r="E675" s="75" t="s">
        <v>817</v>
      </c>
      <c r="F675" s="75" t="s">
        <v>113</v>
      </c>
      <c r="G675" s="311"/>
      <c r="H675" s="311"/>
      <c r="I675" s="320"/>
      <c r="J675" s="320"/>
      <c r="K675" s="409"/>
      <c r="L675" s="409"/>
      <c r="M675" s="323"/>
      <c r="N675" s="323"/>
      <c r="O675" s="313"/>
      <c r="P675" s="313"/>
      <c r="Q675" s="323"/>
      <c r="R675" s="323"/>
      <c r="S675" s="313"/>
      <c r="T675" s="313"/>
      <c r="U675" s="131">
        <f t="shared" si="323"/>
        <v>0</v>
      </c>
      <c r="V675" s="131">
        <f t="shared" si="324"/>
        <v>0</v>
      </c>
    </row>
    <row r="676" spans="1:22" s="80" customFormat="1" ht="78.75" collapsed="1" x14ac:dyDescent="0.25">
      <c r="A676" s="78" t="s">
        <v>1124</v>
      </c>
      <c r="B676" s="79" t="s">
        <v>76</v>
      </c>
      <c r="C676" s="79" t="s">
        <v>18</v>
      </c>
      <c r="D676" s="79" t="s">
        <v>25</v>
      </c>
      <c r="E676" s="79" t="s">
        <v>677</v>
      </c>
      <c r="F676" s="79" t="s">
        <v>9</v>
      </c>
      <c r="G676" s="316">
        <f t="shared" ref="G676:T676" si="343">G677</f>
        <v>5644.1</v>
      </c>
      <c r="H676" s="316">
        <f t="shared" si="343"/>
        <v>0</v>
      </c>
      <c r="I676" s="338">
        <f t="shared" si="343"/>
        <v>3527.6</v>
      </c>
      <c r="J676" s="338">
        <f t="shared" si="343"/>
        <v>0</v>
      </c>
      <c r="K676" s="408">
        <f t="shared" si="343"/>
        <v>0</v>
      </c>
      <c r="L676" s="408">
        <f t="shared" si="343"/>
        <v>0</v>
      </c>
      <c r="M676" s="322">
        <f t="shared" si="343"/>
        <v>0</v>
      </c>
      <c r="N676" s="322">
        <f t="shared" si="343"/>
        <v>0</v>
      </c>
      <c r="O676" s="312">
        <f t="shared" si="343"/>
        <v>0</v>
      </c>
      <c r="P676" s="312">
        <f t="shared" si="343"/>
        <v>0</v>
      </c>
      <c r="Q676" s="322">
        <f t="shared" si="343"/>
        <v>0</v>
      </c>
      <c r="R676" s="322">
        <f t="shared" si="343"/>
        <v>0</v>
      </c>
      <c r="S676" s="312">
        <f t="shared" si="343"/>
        <v>0</v>
      </c>
      <c r="T676" s="312">
        <f t="shared" si="343"/>
        <v>0</v>
      </c>
      <c r="U676" s="132">
        <f t="shared" si="323"/>
        <v>5644.1</v>
      </c>
      <c r="V676" s="132">
        <f t="shared" si="324"/>
        <v>3527.6</v>
      </c>
    </row>
    <row r="677" spans="1:22" s="80" customFormat="1" ht="31.5" x14ac:dyDescent="0.25">
      <c r="A677" s="84" t="s">
        <v>469</v>
      </c>
      <c r="B677" s="75" t="s">
        <v>76</v>
      </c>
      <c r="C677" s="75" t="s">
        <v>18</v>
      </c>
      <c r="D677" s="75" t="s">
        <v>25</v>
      </c>
      <c r="E677" s="75" t="s">
        <v>677</v>
      </c>
      <c r="F677" s="75" t="s">
        <v>213</v>
      </c>
      <c r="G677" s="311">
        <v>5644.1</v>
      </c>
      <c r="H677" s="311"/>
      <c r="I677" s="320">
        <v>3527.6</v>
      </c>
      <c r="J677" s="320"/>
      <c r="K677" s="409"/>
      <c r="L677" s="409"/>
      <c r="M677" s="321"/>
      <c r="N677" s="323"/>
      <c r="O677" s="313"/>
      <c r="P677" s="313"/>
      <c r="Q677" s="323"/>
      <c r="R677" s="323"/>
      <c r="S677" s="313"/>
      <c r="T677" s="313"/>
      <c r="U677" s="131">
        <f t="shared" si="323"/>
        <v>5644.1</v>
      </c>
      <c r="V677" s="131">
        <f t="shared" si="324"/>
        <v>3527.6</v>
      </c>
    </row>
    <row r="678" spans="1:22" s="80" customFormat="1" ht="15.75" customHeight="1" outlineLevel="1" x14ac:dyDescent="0.25">
      <c r="A678" s="78" t="s">
        <v>1124</v>
      </c>
      <c r="B678" s="79" t="s">
        <v>76</v>
      </c>
      <c r="C678" s="79" t="s">
        <v>18</v>
      </c>
      <c r="D678" s="79" t="s">
        <v>25</v>
      </c>
      <c r="E678" s="79" t="s">
        <v>991</v>
      </c>
      <c r="F678" s="79" t="s">
        <v>9</v>
      </c>
      <c r="G678" s="340"/>
      <c r="H678" s="340"/>
      <c r="I678" s="341"/>
      <c r="J678" s="341"/>
      <c r="K678" s="410"/>
      <c r="L678" s="410"/>
      <c r="M678" s="324"/>
      <c r="N678" s="324"/>
      <c r="O678" s="315"/>
      <c r="P678" s="315"/>
      <c r="Q678" s="324"/>
      <c r="R678" s="324"/>
      <c r="S678" s="315"/>
      <c r="T678" s="315"/>
      <c r="U678" s="132">
        <f t="shared" si="323"/>
        <v>0</v>
      </c>
      <c r="V678" s="132">
        <f t="shared" si="324"/>
        <v>0</v>
      </c>
    </row>
    <row r="679" spans="1:22" s="80" customFormat="1" ht="31.5" customHeight="1" outlineLevel="1" x14ac:dyDescent="0.25">
      <c r="A679" s="84" t="s">
        <v>469</v>
      </c>
      <c r="B679" s="75" t="s">
        <v>76</v>
      </c>
      <c r="C679" s="75" t="s">
        <v>18</v>
      </c>
      <c r="D679" s="75" t="s">
        <v>25</v>
      </c>
      <c r="E679" s="75" t="s">
        <v>991</v>
      </c>
      <c r="F679" s="75" t="s">
        <v>213</v>
      </c>
      <c r="G679" s="311"/>
      <c r="H679" s="311"/>
      <c r="I679" s="320"/>
      <c r="J679" s="320"/>
      <c r="K679" s="409"/>
      <c r="L679" s="409"/>
      <c r="M679" s="321"/>
      <c r="N679" s="323"/>
      <c r="O679" s="313"/>
      <c r="P679" s="313"/>
      <c r="Q679" s="323"/>
      <c r="R679" s="323"/>
      <c r="S679" s="313"/>
      <c r="T679" s="313"/>
      <c r="U679" s="131">
        <f t="shared" si="323"/>
        <v>0</v>
      </c>
      <c r="V679" s="131">
        <f t="shared" si="324"/>
        <v>0</v>
      </c>
    </row>
    <row r="680" spans="1:22" s="80" customFormat="1" ht="15.75" customHeight="1" outlineLevel="1" x14ac:dyDescent="0.25">
      <c r="A680" s="78" t="s">
        <v>33</v>
      </c>
      <c r="B680" s="79" t="s">
        <v>76</v>
      </c>
      <c r="C680" s="79" t="s">
        <v>18</v>
      </c>
      <c r="D680" s="79" t="s">
        <v>25</v>
      </c>
      <c r="E680" s="79" t="s">
        <v>992</v>
      </c>
      <c r="F680" s="79" t="s">
        <v>9</v>
      </c>
      <c r="G680" s="316"/>
      <c r="H680" s="316"/>
      <c r="I680" s="338"/>
      <c r="J680" s="338"/>
      <c r="K680" s="408"/>
      <c r="L680" s="408"/>
      <c r="M680" s="322"/>
      <c r="N680" s="322"/>
      <c r="O680" s="312"/>
      <c r="P680" s="312"/>
      <c r="Q680" s="322"/>
      <c r="R680" s="322"/>
      <c r="S680" s="312"/>
      <c r="T680" s="312"/>
      <c r="U680" s="132">
        <f t="shared" si="323"/>
        <v>0</v>
      </c>
      <c r="V680" s="132">
        <f t="shared" si="324"/>
        <v>0</v>
      </c>
    </row>
    <row r="681" spans="1:22" s="80" customFormat="1" ht="47.25" customHeight="1" outlineLevel="1" x14ac:dyDescent="0.25">
      <c r="A681" s="78" t="s">
        <v>993</v>
      </c>
      <c r="B681" s="79" t="s">
        <v>76</v>
      </c>
      <c r="C681" s="79" t="s">
        <v>18</v>
      </c>
      <c r="D681" s="79" t="s">
        <v>25</v>
      </c>
      <c r="E681" s="79" t="s">
        <v>994</v>
      </c>
      <c r="F681" s="79" t="s">
        <v>9</v>
      </c>
      <c r="G681" s="316"/>
      <c r="H681" s="316"/>
      <c r="I681" s="338"/>
      <c r="J681" s="338"/>
      <c r="K681" s="408"/>
      <c r="L681" s="408"/>
      <c r="M681" s="322"/>
      <c r="N681" s="322"/>
      <c r="O681" s="312"/>
      <c r="P681" s="312"/>
      <c r="Q681" s="322"/>
      <c r="R681" s="322"/>
      <c r="S681" s="312"/>
      <c r="T681" s="312"/>
      <c r="U681" s="132">
        <f t="shared" si="323"/>
        <v>0</v>
      </c>
      <c r="V681" s="132">
        <f t="shared" si="324"/>
        <v>0</v>
      </c>
    </row>
    <row r="682" spans="1:22" s="80" customFormat="1" ht="15.75" customHeight="1" outlineLevel="1" x14ac:dyDescent="0.25">
      <c r="A682" s="264" t="s">
        <v>125</v>
      </c>
      <c r="B682" s="75" t="s">
        <v>76</v>
      </c>
      <c r="C682" s="75" t="s">
        <v>18</v>
      </c>
      <c r="D682" s="75" t="s">
        <v>25</v>
      </c>
      <c r="E682" s="75" t="s">
        <v>994</v>
      </c>
      <c r="F682" s="75" t="s">
        <v>118</v>
      </c>
      <c r="G682" s="316"/>
      <c r="H682" s="316"/>
      <c r="I682" s="338"/>
      <c r="J682" s="338"/>
      <c r="K682" s="408"/>
      <c r="L682" s="407"/>
      <c r="M682" s="322"/>
      <c r="N682" s="322"/>
      <c r="O682" s="312"/>
      <c r="P682" s="312"/>
      <c r="Q682" s="322"/>
      <c r="R682" s="322"/>
      <c r="S682" s="312"/>
      <c r="T682" s="312"/>
      <c r="U682" s="131">
        <f t="shared" si="323"/>
        <v>0</v>
      </c>
      <c r="V682" s="131">
        <f t="shared" si="324"/>
        <v>0</v>
      </c>
    </row>
    <row r="683" spans="1:22" s="80" customFormat="1" collapsed="1" x14ac:dyDescent="0.25">
      <c r="A683" s="78" t="s">
        <v>15</v>
      </c>
      <c r="B683" s="79" t="s">
        <v>76</v>
      </c>
      <c r="C683" s="79" t="s">
        <v>18</v>
      </c>
      <c r="D683" s="79" t="s">
        <v>25</v>
      </c>
      <c r="E683" s="79" t="s">
        <v>433</v>
      </c>
      <c r="F683" s="79" t="s">
        <v>9</v>
      </c>
      <c r="G683" s="316">
        <f t="shared" ref="G683:T684" si="344">G684</f>
        <v>2123.67</v>
      </c>
      <c r="H683" s="316">
        <f t="shared" si="344"/>
        <v>0</v>
      </c>
      <c r="I683" s="338">
        <f t="shared" si="344"/>
        <v>2109.9</v>
      </c>
      <c r="J683" s="338">
        <f t="shared" si="344"/>
        <v>0</v>
      </c>
      <c r="K683" s="408">
        <f t="shared" si="344"/>
        <v>145.91749999999999</v>
      </c>
      <c r="L683" s="408">
        <f t="shared" si="344"/>
        <v>144.97499999999999</v>
      </c>
      <c r="M683" s="322">
        <f t="shared" si="344"/>
        <v>0</v>
      </c>
      <c r="N683" s="322">
        <f t="shared" si="344"/>
        <v>0</v>
      </c>
      <c r="O683" s="312">
        <f t="shared" si="344"/>
        <v>0</v>
      </c>
      <c r="P683" s="312">
        <f t="shared" si="344"/>
        <v>0</v>
      </c>
      <c r="Q683" s="322">
        <f t="shared" si="344"/>
        <v>0</v>
      </c>
      <c r="R683" s="322">
        <f t="shared" si="344"/>
        <v>0</v>
      </c>
      <c r="S683" s="312">
        <f t="shared" si="344"/>
        <v>0</v>
      </c>
      <c r="T683" s="312">
        <f t="shared" si="344"/>
        <v>0</v>
      </c>
      <c r="U683" s="132">
        <f t="shared" si="323"/>
        <v>2269.5875000000001</v>
      </c>
      <c r="V683" s="132">
        <f t="shared" si="324"/>
        <v>2254.875</v>
      </c>
    </row>
    <row r="684" spans="1:22" s="77" customFormat="1" x14ac:dyDescent="0.25">
      <c r="A684" s="78" t="s">
        <v>712</v>
      </c>
      <c r="B684" s="79" t="s">
        <v>76</v>
      </c>
      <c r="C684" s="79" t="s">
        <v>18</v>
      </c>
      <c r="D684" s="79" t="s">
        <v>25</v>
      </c>
      <c r="E684" s="79" t="s">
        <v>711</v>
      </c>
      <c r="F684" s="79" t="s">
        <v>9</v>
      </c>
      <c r="G684" s="316">
        <f t="shared" si="344"/>
        <v>2123.67</v>
      </c>
      <c r="H684" s="316">
        <f t="shared" si="344"/>
        <v>0</v>
      </c>
      <c r="I684" s="338">
        <f t="shared" si="344"/>
        <v>2109.9</v>
      </c>
      <c r="J684" s="338">
        <f t="shared" si="344"/>
        <v>0</v>
      </c>
      <c r="K684" s="408">
        <f t="shared" si="344"/>
        <v>145.91749999999999</v>
      </c>
      <c r="L684" s="408">
        <f t="shared" si="344"/>
        <v>144.97499999999999</v>
      </c>
      <c r="M684" s="322">
        <f t="shared" si="344"/>
        <v>0</v>
      </c>
      <c r="N684" s="322">
        <f t="shared" si="344"/>
        <v>0</v>
      </c>
      <c r="O684" s="312">
        <f t="shared" si="344"/>
        <v>0</v>
      </c>
      <c r="P684" s="312">
        <f t="shared" si="344"/>
        <v>0</v>
      </c>
      <c r="Q684" s="322">
        <f t="shared" si="344"/>
        <v>0</v>
      </c>
      <c r="R684" s="322">
        <f t="shared" si="344"/>
        <v>0</v>
      </c>
      <c r="S684" s="312">
        <f t="shared" si="344"/>
        <v>0</v>
      </c>
      <c r="T684" s="312">
        <f t="shared" si="344"/>
        <v>0</v>
      </c>
      <c r="U684" s="132">
        <f t="shared" si="323"/>
        <v>2269.5875000000001</v>
      </c>
      <c r="V684" s="132">
        <f t="shared" si="324"/>
        <v>2254.875</v>
      </c>
    </row>
    <row r="685" spans="1:22" s="80" customFormat="1" x14ac:dyDescent="0.25">
      <c r="A685" s="264" t="s">
        <v>125</v>
      </c>
      <c r="B685" s="265" t="s">
        <v>76</v>
      </c>
      <c r="C685" s="265" t="s">
        <v>18</v>
      </c>
      <c r="D685" s="265" t="s">
        <v>25</v>
      </c>
      <c r="E685" s="265" t="s">
        <v>711</v>
      </c>
      <c r="F685" s="265" t="s">
        <v>118</v>
      </c>
      <c r="G685" s="359">
        <f>1940.5-124.83+329.1-21.1</f>
        <v>2123.67</v>
      </c>
      <c r="H685" s="311"/>
      <c r="I685" s="359">
        <f>1927.92-124.02+327-21</f>
        <v>2109.9</v>
      </c>
      <c r="J685" s="320"/>
      <c r="K685" s="409">
        <v>145.91749999999999</v>
      </c>
      <c r="L685" s="409">
        <v>144.97499999999999</v>
      </c>
      <c r="M685" s="323"/>
      <c r="N685" s="323"/>
      <c r="O685" s="313"/>
      <c r="P685" s="313"/>
      <c r="Q685" s="323"/>
      <c r="R685" s="323"/>
      <c r="S685" s="313"/>
      <c r="T685" s="313"/>
      <c r="U685" s="131">
        <f t="shared" si="323"/>
        <v>2269.5875000000001</v>
      </c>
      <c r="V685" s="131">
        <f t="shared" si="324"/>
        <v>2254.875</v>
      </c>
    </row>
    <row r="686" spans="1:22" s="77" customFormat="1" ht="15.75" customHeight="1" outlineLevel="1" x14ac:dyDescent="0.25">
      <c r="A686" s="78" t="s">
        <v>201</v>
      </c>
      <c r="B686" s="79" t="s">
        <v>76</v>
      </c>
      <c r="C686" s="79" t="s">
        <v>18</v>
      </c>
      <c r="D686" s="79" t="s">
        <v>25</v>
      </c>
      <c r="E686" s="79" t="s">
        <v>452</v>
      </c>
      <c r="F686" s="79" t="s">
        <v>9</v>
      </c>
      <c r="G686" s="316">
        <f t="shared" ref="G686:T686" si="345">G687</f>
        <v>0</v>
      </c>
      <c r="H686" s="316">
        <f t="shared" si="345"/>
        <v>0</v>
      </c>
      <c r="I686" s="338">
        <f t="shared" si="345"/>
        <v>0</v>
      </c>
      <c r="J686" s="338">
        <f t="shared" si="345"/>
        <v>0</v>
      </c>
      <c r="K686" s="408">
        <f t="shared" si="345"/>
        <v>0</v>
      </c>
      <c r="L686" s="408">
        <f t="shared" si="345"/>
        <v>0</v>
      </c>
      <c r="M686" s="322">
        <f t="shared" si="345"/>
        <v>0</v>
      </c>
      <c r="N686" s="322">
        <f t="shared" si="345"/>
        <v>0</v>
      </c>
      <c r="O686" s="312">
        <f t="shared" si="345"/>
        <v>0</v>
      </c>
      <c r="P686" s="312">
        <f t="shared" si="345"/>
        <v>0</v>
      </c>
      <c r="Q686" s="322">
        <f t="shared" si="345"/>
        <v>0</v>
      </c>
      <c r="R686" s="322">
        <f t="shared" si="345"/>
        <v>0</v>
      </c>
      <c r="S686" s="312">
        <f t="shared" si="345"/>
        <v>0</v>
      </c>
      <c r="T686" s="312">
        <f t="shared" si="345"/>
        <v>0</v>
      </c>
      <c r="U686" s="132">
        <f t="shared" si="323"/>
        <v>0</v>
      </c>
      <c r="V686" s="132">
        <f t="shared" si="324"/>
        <v>0</v>
      </c>
    </row>
    <row r="687" spans="1:22" s="80" customFormat="1" ht="63" customHeight="1" outlineLevel="1" x14ac:dyDescent="0.25">
      <c r="A687" s="74" t="s">
        <v>115</v>
      </c>
      <c r="B687" s="75" t="s">
        <v>76</v>
      </c>
      <c r="C687" s="75" t="s">
        <v>18</v>
      </c>
      <c r="D687" s="75" t="s">
        <v>25</v>
      </c>
      <c r="E687" s="75" t="s">
        <v>452</v>
      </c>
      <c r="F687" s="75" t="s">
        <v>113</v>
      </c>
      <c r="G687" s="311"/>
      <c r="H687" s="311"/>
      <c r="I687" s="320"/>
      <c r="J687" s="320"/>
      <c r="K687" s="409"/>
      <c r="L687" s="409"/>
      <c r="M687" s="323"/>
      <c r="N687" s="323"/>
      <c r="O687" s="313"/>
      <c r="P687" s="313"/>
      <c r="Q687" s="323"/>
      <c r="R687" s="323"/>
      <c r="S687" s="313"/>
      <c r="T687" s="313"/>
      <c r="U687" s="131">
        <f t="shared" si="323"/>
        <v>0</v>
      </c>
      <c r="V687" s="131">
        <f t="shared" si="324"/>
        <v>0</v>
      </c>
    </row>
    <row r="688" spans="1:22" s="77" customFormat="1" collapsed="1" x14ac:dyDescent="0.25">
      <c r="A688" s="74" t="s">
        <v>97</v>
      </c>
      <c r="B688" s="75" t="s">
        <v>76</v>
      </c>
      <c r="C688" s="75" t="s">
        <v>51</v>
      </c>
      <c r="D688" s="75" t="s">
        <v>10</v>
      </c>
      <c r="E688" s="75" t="s">
        <v>365</v>
      </c>
      <c r="F688" s="75" t="s">
        <v>9</v>
      </c>
      <c r="G688" s="311">
        <f t="shared" ref="G688:T688" si="346">G689+G708</f>
        <v>0</v>
      </c>
      <c r="H688" s="311">
        <f>H689+H708</f>
        <v>13388</v>
      </c>
      <c r="I688" s="320">
        <f t="shared" si="346"/>
        <v>0</v>
      </c>
      <c r="J688" s="320">
        <f>J689+J708</f>
        <v>13388</v>
      </c>
      <c r="K688" s="407">
        <f t="shared" si="346"/>
        <v>0</v>
      </c>
      <c r="L688" s="407">
        <f t="shared" si="346"/>
        <v>0</v>
      </c>
      <c r="M688" s="321">
        <f t="shared" si="346"/>
        <v>0</v>
      </c>
      <c r="N688" s="321">
        <f t="shared" si="346"/>
        <v>0</v>
      </c>
      <c r="O688" s="310">
        <f t="shared" si="346"/>
        <v>0</v>
      </c>
      <c r="P688" s="310">
        <f t="shared" si="346"/>
        <v>0</v>
      </c>
      <c r="Q688" s="321">
        <f t="shared" si="346"/>
        <v>0</v>
      </c>
      <c r="R688" s="321">
        <f t="shared" si="346"/>
        <v>0</v>
      </c>
      <c r="S688" s="310">
        <f t="shared" si="346"/>
        <v>0</v>
      </c>
      <c r="T688" s="310">
        <f t="shared" si="346"/>
        <v>0</v>
      </c>
      <c r="U688" s="131">
        <f t="shared" si="323"/>
        <v>13388</v>
      </c>
      <c r="V688" s="131">
        <f t="shared" si="324"/>
        <v>13388</v>
      </c>
    </row>
    <row r="689" spans="1:22" s="77" customFormat="1" ht="15.75" customHeight="1" x14ac:dyDescent="0.25">
      <c r="A689" s="78" t="s">
        <v>98</v>
      </c>
      <c r="B689" s="79" t="s">
        <v>76</v>
      </c>
      <c r="C689" s="79" t="s">
        <v>51</v>
      </c>
      <c r="D689" s="79" t="s">
        <v>36</v>
      </c>
      <c r="E689" s="79" t="s">
        <v>365</v>
      </c>
      <c r="F689" s="79" t="s">
        <v>9</v>
      </c>
      <c r="G689" s="316">
        <f t="shared" ref="G689:T690" si="347">G690</f>
        <v>0</v>
      </c>
      <c r="H689" s="316">
        <f t="shared" si="347"/>
        <v>75</v>
      </c>
      <c r="I689" s="338">
        <f t="shared" si="347"/>
        <v>0</v>
      </c>
      <c r="J689" s="338">
        <f t="shared" si="347"/>
        <v>75</v>
      </c>
      <c r="K689" s="408">
        <f t="shared" si="347"/>
        <v>0</v>
      </c>
      <c r="L689" s="408">
        <f t="shared" si="347"/>
        <v>0</v>
      </c>
      <c r="M689" s="322">
        <f t="shared" si="347"/>
        <v>0</v>
      </c>
      <c r="N689" s="322">
        <f t="shared" si="347"/>
        <v>0</v>
      </c>
      <c r="O689" s="312">
        <f t="shared" si="347"/>
        <v>0</v>
      </c>
      <c r="P689" s="312">
        <f t="shared" si="347"/>
        <v>0</v>
      </c>
      <c r="Q689" s="322">
        <f t="shared" si="347"/>
        <v>0</v>
      </c>
      <c r="R689" s="322">
        <f t="shared" si="347"/>
        <v>0</v>
      </c>
      <c r="S689" s="312">
        <f t="shared" si="347"/>
        <v>0</v>
      </c>
      <c r="T689" s="312">
        <f t="shared" si="347"/>
        <v>0</v>
      </c>
      <c r="U689" s="132">
        <f t="shared" si="323"/>
        <v>75</v>
      </c>
      <c r="V689" s="132">
        <f t="shared" si="324"/>
        <v>75</v>
      </c>
    </row>
    <row r="690" spans="1:22" s="77" customFormat="1" ht="31.5" customHeight="1" x14ac:dyDescent="0.25">
      <c r="A690" s="78" t="s">
        <v>784</v>
      </c>
      <c r="B690" s="79" t="s">
        <v>76</v>
      </c>
      <c r="C690" s="79" t="s">
        <v>51</v>
      </c>
      <c r="D690" s="79" t="s">
        <v>36</v>
      </c>
      <c r="E690" s="79" t="s">
        <v>380</v>
      </c>
      <c r="F690" s="79" t="s">
        <v>9</v>
      </c>
      <c r="G690" s="316">
        <f t="shared" si="347"/>
        <v>0</v>
      </c>
      <c r="H690" s="316">
        <f t="shared" si="347"/>
        <v>75</v>
      </c>
      <c r="I690" s="338">
        <f t="shared" si="347"/>
        <v>0</v>
      </c>
      <c r="J690" s="338">
        <f t="shared" si="347"/>
        <v>75</v>
      </c>
      <c r="K690" s="408">
        <f t="shared" si="347"/>
        <v>0</v>
      </c>
      <c r="L690" s="408">
        <f t="shared" si="347"/>
        <v>0</v>
      </c>
      <c r="M690" s="322">
        <f t="shared" si="347"/>
        <v>0</v>
      </c>
      <c r="N690" s="322">
        <f t="shared" si="347"/>
        <v>0</v>
      </c>
      <c r="O690" s="312">
        <f t="shared" si="347"/>
        <v>0</v>
      </c>
      <c r="P690" s="312">
        <f t="shared" si="347"/>
        <v>0</v>
      </c>
      <c r="Q690" s="322">
        <f t="shared" si="347"/>
        <v>0</v>
      </c>
      <c r="R690" s="322">
        <f t="shared" si="347"/>
        <v>0</v>
      </c>
      <c r="S690" s="312">
        <f t="shared" si="347"/>
        <v>0</v>
      </c>
      <c r="T690" s="312">
        <f t="shared" si="347"/>
        <v>0</v>
      </c>
      <c r="U690" s="132">
        <f t="shared" si="323"/>
        <v>75</v>
      </c>
      <c r="V690" s="132">
        <f t="shared" si="324"/>
        <v>75</v>
      </c>
    </row>
    <row r="691" spans="1:22" s="77" customFormat="1" ht="15.75" customHeight="1" x14ac:dyDescent="0.25">
      <c r="A691" s="78" t="s">
        <v>15</v>
      </c>
      <c r="B691" s="79" t="s">
        <v>76</v>
      </c>
      <c r="C691" s="79" t="s">
        <v>51</v>
      </c>
      <c r="D691" s="79" t="s">
        <v>36</v>
      </c>
      <c r="E691" s="79" t="s">
        <v>433</v>
      </c>
      <c r="F691" s="79" t="s">
        <v>9</v>
      </c>
      <c r="G691" s="316">
        <f t="shared" ref="G691:T691" si="348">G701+G692+G706</f>
        <v>0</v>
      </c>
      <c r="H691" s="316">
        <f>H701+H692+H706</f>
        <v>75</v>
      </c>
      <c r="I691" s="338">
        <f t="shared" si="348"/>
        <v>0</v>
      </c>
      <c r="J691" s="338">
        <f>J701+J692+J706</f>
        <v>75</v>
      </c>
      <c r="K691" s="408">
        <f t="shared" si="348"/>
        <v>0</v>
      </c>
      <c r="L691" s="408">
        <f t="shared" si="348"/>
        <v>0</v>
      </c>
      <c r="M691" s="322">
        <f t="shared" si="348"/>
        <v>0</v>
      </c>
      <c r="N691" s="322">
        <f t="shared" si="348"/>
        <v>0</v>
      </c>
      <c r="O691" s="312">
        <f t="shared" si="348"/>
        <v>0</v>
      </c>
      <c r="P691" s="312">
        <f t="shared" si="348"/>
        <v>0</v>
      </c>
      <c r="Q691" s="322">
        <f t="shared" si="348"/>
        <v>0</v>
      </c>
      <c r="R691" s="322">
        <f t="shared" si="348"/>
        <v>0</v>
      </c>
      <c r="S691" s="312">
        <f t="shared" si="348"/>
        <v>0</v>
      </c>
      <c r="T691" s="312">
        <f t="shared" si="348"/>
        <v>0</v>
      </c>
      <c r="U691" s="132">
        <f t="shared" si="323"/>
        <v>75</v>
      </c>
      <c r="V691" s="132">
        <f t="shared" si="324"/>
        <v>75</v>
      </c>
    </row>
    <row r="692" spans="1:22" s="77" customFormat="1" ht="15.75" customHeight="1" x14ac:dyDescent="0.25">
      <c r="A692" s="78" t="s">
        <v>798</v>
      </c>
      <c r="B692" s="79" t="s">
        <v>76</v>
      </c>
      <c r="C692" s="79" t="s">
        <v>51</v>
      </c>
      <c r="D692" s="79" t="s">
        <v>36</v>
      </c>
      <c r="E692" s="79" t="s">
        <v>800</v>
      </c>
      <c r="F692" s="79" t="s">
        <v>9</v>
      </c>
      <c r="G692" s="316">
        <f t="shared" ref="G692:T692" si="349">G693</f>
        <v>0</v>
      </c>
      <c r="H692" s="316">
        <f t="shared" si="349"/>
        <v>0</v>
      </c>
      <c r="I692" s="338">
        <f t="shared" si="349"/>
        <v>0</v>
      </c>
      <c r="J692" s="338">
        <f t="shared" si="349"/>
        <v>0</v>
      </c>
      <c r="K692" s="408">
        <f t="shared" si="349"/>
        <v>0</v>
      </c>
      <c r="L692" s="408">
        <f t="shared" si="349"/>
        <v>0</v>
      </c>
      <c r="M692" s="322">
        <f t="shared" si="349"/>
        <v>0</v>
      </c>
      <c r="N692" s="322">
        <f t="shared" si="349"/>
        <v>0</v>
      </c>
      <c r="O692" s="312">
        <f t="shared" si="349"/>
        <v>0</v>
      </c>
      <c r="P692" s="312">
        <f t="shared" si="349"/>
        <v>0</v>
      </c>
      <c r="Q692" s="322">
        <f t="shared" si="349"/>
        <v>0</v>
      </c>
      <c r="R692" s="322">
        <f t="shared" si="349"/>
        <v>0</v>
      </c>
      <c r="S692" s="312">
        <f t="shared" si="349"/>
        <v>0</v>
      </c>
      <c r="T692" s="312">
        <f t="shared" si="349"/>
        <v>0</v>
      </c>
      <c r="U692" s="132">
        <f t="shared" si="323"/>
        <v>0</v>
      </c>
      <c r="V692" s="132">
        <f t="shared" si="324"/>
        <v>0</v>
      </c>
    </row>
    <row r="693" spans="1:22" s="77" customFormat="1" ht="15.75" customHeight="1" x14ac:dyDescent="0.25">
      <c r="A693" s="78" t="s">
        <v>799</v>
      </c>
      <c r="B693" s="79" t="s">
        <v>76</v>
      </c>
      <c r="C693" s="79" t="s">
        <v>51</v>
      </c>
      <c r="D693" s="79" t="s">
        <v>36</v>
      </c>
      <c r="E693" s="79" t="s">
        <v>801</v>
      </c>
      <c r="F693" s="79" t="s">
        <v>9</v>
      </c>
      <c r="G693" s="316">
        <f t="shared" ref="G693:T693" si="350">G697+G699</f>
        <v>0</v>
      </c>
      <c r="H693" s="316">
        <f>H697+H699</f>
        <v>0</v>
      </c>
      <c r="I693" s="338">
        <f t="shared" si="350"/>
        <v>0</v>
      </c>
      <c r="J693" s="338">
        <f>J697+J699</f>
        <v>0</v>
      </c>
      <c r="K693" s="408">
        <f t="shared" si="350"/>
        <v>0</v>
      </c>
      <c r="L693" s="408">
        <f t="shared" si="350"/>
        <v>0</v>
      </c>
      <c r="M693" s="322">
        <f t="shared" si="350"/>
        <v>0</v>
      </c>
      <c r="N693" s="322">
        <f t="shared" si="350"/>
        <v>0</v>
      </c>
      <c r="O693" s="312">
        <f t="shared" si="350"/>
        <v>0</v>
      </c>
      <c r="P693" s="312">
        <f t="shared" si="350"/>
        <v>0</v>
      </c>
      <c r="Q693" s="322">
        <f t="shared" si="350"/>
        <v>0</v>
      </c>
      <c r="R693" s="322">
        <f t="shared" si="350"/>
        <v>0</v>
      </c>
      <c r="S693" s="312">
        <f t="shared" si="350"/>
        <v>0</v>
      </c>
      <c r="T693" s="312">
        <f t="shared" si="350"/>
        <v>0</v>
      </c>
      <c r="U693" s="132">
        <f t="shared" si="323"/>
        <v>0</v>
      </c>
      <c r="V693" s="132">
        <f t="shared" si="324"/>
        <v>0</v>
      </c>
    </row>
    <row r="694" spans="1:22" s="77" customFormat="1" ht="31.5" customHeight="1" outlineLevel="1" x14ac:dyDescent="0.25">
      <c r="A694" s="268" t="s">
        <v>997</v>
      </c>
      <c r="B694" s="79" t="s">
        <v>76</v>
      </c>
      <c r="C694" s="79" t="s">
        <v>51</v>
      </c>
      <c r="D694" s="79" t="s">
        <v>20</v>
      </c>
      <c r="E694" s="79" t="s">
        <v>998</v>
      </c>
      <c r="F694" s="79" t="s">
        <v>9</v>
      </c>
      <c r="G694" s="316"/>
      <c r="H694" s="316"/>
      <c r="I694" s="338"/>
      <c r="J694" s="338"/>
      <c r="K694" s="408"/>
      <c r="L694" s="408"/>
      <c r="M694" s="322"/>
      <c r="N694" s="322"/>
      <c r="O694" s="312"/>
      <c r="P694" s="312"/>
      <c r="Q694" s="322"/>
      <c r="R694" s="322"/>
      <c r="S694" s="312"/>
      <c r="T694" s="312"/>
      <c r="U694" s="132">
        <f t="shared" si="323"/>
        <v>0</v>
      </c>
      <c r="V694" s="132">
        <f t="shared" si="324"/>
        <v>0</v>
      </c>
    </row>
    <row r="695" spans="1:22" s="77" customFormat="1" ht="15.75" customHeight="1" outlineLevel="1" x14ac:dyDescent="0.25">
      <c r="A695" s="264" t="s">
        <v>1016</v>
      </c>
      <c r="B695" s="265" t="s">
        <v>76</v>
      </c>
      <c r="C695" s="265" t="s">
        <v>51</v>
      </c>
      <c r="D695" s="265" t="s">
        <v>20</v>
      </c>
      <c r="E695" s="265" t="s">
        <v>998</v>
      </c>
      <c r="F695" s="265" t="s">
        <v>490</v>
      </c>
      <c r="G695" s="316"/>
      <c r="H695" s="316"/>
      <c r="I695" s="338"/>
      <c r="J695" s="338"/>
      <c r="K695" s="408"/>
      <c r="L695" s="408"/>
      <c r="M695" s="322"/>
      <c r="N695" s="322"/>
      <c r="O695" s="312"/>
      <c r="P695" s="312"/>
      <c r="Q695" s="322"/>
      <c r="R695" s="322"/>
      <c r="S695" s="312"/>
      <c r="T695" s="312"/>
      <c r="U695" s="131">
        <f t="shared" si="323"/>
        <v>0</v>
      </c>
      <c r="V695" s="131">
        <f t="shared" si="324"/>
        <v>0</v>
      </c>
    </row>
    <row r="696" spans="1:22" s="77" customFormat="1" ht="47.25" customHeight="1" outlineLevel="1" x14ac:dyDescent="0.25">
      <c r="A696" s="74" t="s">
        <v>100</v>
      </c>
      <c r="B696" s="75" t="s">
        <v>101</v>
      </c>
      <c r="C696" s="75" t="s">
        <v>10</v>
      </c>
      <c r="D696" s="75" t="s">
        <v>10</v>
      </c>
      <c r="E696" s="75" t="s">
        <v>365</v>
      </c>
      <c r="F696" s="75" t="s">
        <v>9</v>
      </c>
      <c r="G696" s="316"/>
      <c r="H696" s="316"/>
      <c r="I696" s="338"/>
      <c r="J696" s="338"/>
      <c r="K696" s="408"/>
      <c r="L696" s="408"/>
      <c r="M696" s="322"/>
      <c r="N696" s="322"/>
      <c r="O696" s="312"/>
      <c r="P696" s="312"/>
      <c r="Q696" s="322"/>
      <c r="R696" s="322"/>
      <c r="S696" s="312"/>
      <c r="T696" s="312"/>
      <c r="U696" s="131">
        <f t="shared" si="323"/>
        <v>0</v>
      </c>
      <c r="V696" s="131">
        <f t="shared" si="324"/>
        <v>0</v>
      </c>
    </row>
    <row r="697" spans="1:22" s="77" customFormat="1" ht="31.5" customHeight="1" x14ac:dyDescent="0.25">
      <c r="A697" s="78" t="s">
        <v>714</v>
      </c>
      <c r="B697" s="79" t="s">
        <v>76</v>
      </c>
      <c r="C697" s="79" t="s">
        <v>51</v>
      </c>
      <c r="D697" s="79" t="s">
        <v>36</v>
      </c>
      <c r="E697" s="79" t="s">
        <v>713</v>
      </c>
      <c r="F697" s="79" t="s">
        <v>9</v>
      </c>
      <c r="G697" s="316">
        <f t="shared" ref="G697:T697" si="351">G698</f>
        <v>0</v>
      </c>
      <c r="H697" s="316">
        <f t="shared" si="351"/>
        <v>0</v>
      </c>
      <c r="I697" s="338">
        <f t="shared" si="351"/>
        <v>0</v>
      </c>
      <c r="J697" s="338">
        <f t="shared" si="351"/>
        <v>0</v>
      </c>
      <c r="K697" s="408">
        <f t="shared" si="351"/>
        <v>0</v>
      </c>
      <c r="L697" s="408">
        <f t="shared" si="351"/>
        <v>0</v>
      </c>
      <c r="M697" s="322">
        <f t="shared" si="351"/>
        <v>0</v>
      </c>
      <c r="N697" s="322">
        <f t="shared" si="351"/>
        <v>0</v>
      </c>
      <c r="O697" s="312">
        <f t="shared" si="351"/>
        <v>0</v>
      </c>
      <c r="P697" s="312">
        <f t="shared" si="351"/>
        <v>0</v>
      </c>
      <c r="Q697" s="322">
        <f t="shared" si="351"/>
        <v>0</v>
      </c>
      <c r="R697" s="322">
        <f t="shared" si="351"/>
        <v>0</v>
      </c>
      <c r="S697" s="312">
        <f t="shared" si="351"/>
        <v>0</v>
      </c>
      <c r="T697" s="312">
        <f t="shared" si="351"/>
        <v>0</v>
      </c>
      <c r="U697" s="132">
        <f t="shared" si="323"/>
        <v>0</v>
      </c>
      <c r="V697" s="132">
        <f t="shared" si="324"/>
        <v>0</v>
      </c>
    </row>
    <row r="698" spans="1:22" s="80" customFormat="1" ht="31.5" customHeight="1" x14ac:dyDescent="0.25">
      <c r="A698" s="74" t="s">
        <v>124</v>
      </c>
      <c r="B698" s="75" t="s">
        <v>76</v>
      </c>
      <c r="C698" s="75" t="s">
        <v>51</v>
      </c>
      <c r="D698" s="75" t="s">
        <v>36</v>
      </c>
      <c r="E698" s="75" t="s">
        <v>713</v>
      </c>
      <c r="F698" s="75" t="s">
        <v>117</v>
      </c>
      <c r="G698" s="311"/>
      <c r="H698" s="311"/>
      <c r="I698" s="320"/>
      <c r="J698" s="320"/>
      <c r="K698" s="409"/>
      <c r="L698" s="409"/>
      <c r="M698" s="323"/>
      <c r="N698" s="323"/>
      <c r="O698" s="313"/>
      <c r="P698" s="313"/>
      <c r="Q698" s="323"/>
      <c r="R698" s="323"/>
      <c r="S698" s="313"/>
      <c r="T698" s="313"/>
      <c r="U698" s="131">
        <f t="shared" si="323"/>
        <v>0</v>
      </c>
      <c r="V698" s="131">
        <f t="shared" si="324"/>
        <v>0</v>
      </c>
    </row>
    <row r="699" spans="1:22" s="80" customFormat="1" ht="31.5" customHeight="1" outlineLevel="1" x14ac:dyDescent="0.25">
      <c r="A699" s="78" t="s">
        <v>684</v>
      </c>
      <c r="B699" s="79" t="s">
        <v>76</v>
      </c>
      <c r="C699" s="79" t="s">
        <v>51</v>
      </c>
      <c r="D699" s="79" t="s">
        <v>36</v>
      </c>
      <c r="E699" s="79" t="s">
        <v>685</v>
      </c>
      <c r="F699" s="79" t="s">
        <v>9</v>
      </c>
      <c r="G699" s="316">
        <f t="shared" ref="G699:T699" si="352">G700</f>
        <v>0</v>
      </c>
      <c r="H699" s="316">
        <f t="shared" si="352"/>
        <v>0</v>
      </c>
      <c r="I699" s="338">
        <f t="shared" si="352"/>
        <v>0</v>
      </c>
      <c r="J699" s="338">
        <f t="shared" si="352"/>
        <v>0</v>
      </c>
      <c r="K699" s="408">
        <f t="shared" si="352"/>
        <v>0</v>
      </c>
      <c r="L699" s="408">
        <f t="shared" si="352"/>
        <v>0</v>
      </c>
      <c r="M699" s="322">
        <f t="shared" si="352"/>
        <v>0</v>
      </c>
      <c r="N699" s="322">
        <f t="shared" si="352"/>
        <v>0</v>
      </c>
      <c r="O699" s="312">
        <f t="shared" si="352"/>
        <v>0</v>
      </c>
      <c r="P699" s="312">
        <f t="shared" si="352"/>
        <v>0</v>
      </c>
      <c r="Q699" s="322">
        <f t="shared" si="352"/>
        <v>0</v>
      </c>
      <c r="R699" s="322">
        <f t="shared" si="352"/>
        <v>0</v>
      </c>
      <c r="S699" s="312">
        <f t="shared" si="352"/>
        <v>0</v>
      </c>
      <c r="T699" s="312">
        <f t="shared" si="352"/>
        <v>0</v>
      </c>
      <c r="U699" s="132">
        <f t="shared" si="323"/>
        <v>0</v>
      </c>
      <c r="V699" s="132">
        <f t="shared" si="324"/>
        <v>0</v>
      </c>
    </row>
    <row r="700" spans="1:22" s="80" customFormat="1" ht="31.5" customHeight="1" outlineLevel="1" x14ac:dyDescent="0.25">
      <c r="A700" s="74" t="s">
        <v>469</v>
      </c>
      <c r="B700" s="75" t="s">
        <v>76</v>
      </c>
      <c r="C700" s="75" t="s">
        <v>51</v>
      </c>
      <c r="D700" s="75" t="s">
        <v>36</v>
      </c>
      <c r="E700" s="75" t="s">
        <v>685</v>
      </c>
      <c r="F700" s="75" t="s">
        <v>213</v>
      </c>
      <c r="G700" s="311"/>
      <c r="H700" s="311"/>
      <c r="I700" s="320"/>
      <c r="J700" s="320"/>
      <c r="K700" s="409"/>
      <c r="L700" s="409"/>
      <c r="M700" s="323"/>
      <c r="N700" s="323"/>
      <c r="O700" s="313"/>
      <c r="P700" s="313"/>
      <c r="Q700" s="323"/>
      <c r="R700" s="323"/>
      <c r="S700" s="313"/>
      <c r="T700" s="313"/>
      <c r="U700" s="131">
        <f t="shared" si="323"/>
        <v>0</v>
      </c>
      <c r="V700" s="131">
        <f t="shared" si="324"/>
        <v>0</v>
      </c>
    </row>
    <row r="701" spans="1:22" s="77" customFormat="1" ht="31.5" customHeight="1" outlineLevel="1" x14ac:dyDescent="0.25">
      <c r="A701" s="78" t="s">
        <v>99</v>
      </c>
      <c r="B701" s="79" t="s">
        <v>76</v>
      </c>
      <c r="C701" s="79" t="s">
        <v>51</v>
      </c>
      <c r="D701" s="79" t="s">
        <v>36</v>
      </c>
      <c r="E701" s="79" t="s">
        <v>458</v>
      </c>
      <c r="F701" s="79" t="s">
        <v>9</v>
      </c>
      <c r="G701" s="316">
        <f t="shared" ref="G701:T701" si="353">G703+G704+G705+G702</f>
        <v>0</v>
      </c>
      <c r="H701" s="316">
        <f t="shared" si="353"/>
        <v>75</v>
      </c>
      <c r="I701" s="338">
        <f t="shared" si="353"/>
        <v>0</v>
      </c>
      <c r="J701" s="338">
        <f t="shared" si="353"/>
        <v>75</v>
      </c>
      <c r="K701" s="408">
        <f t="shared" si="353"/>
        <v>0</v>
      </c>
      <c r="L701" s="408">
        <f t="shared" si="353"/>
        <v>0</v>
      </c>
      <c r="M701" s="322">
        <f t="shared" si="353"/>
        <v>0</v>
      </c>
      <c r="N701" s="322">
        <f t="shared" si="353"/>
        <v>0</v>
      </c>
      <c r="O701" s="312">
        <f t="shared" si="353"/>
        <v>0</v>
      </c>
      <c r="P701" s="312">
        <f t="shared" si="353"/>
        <v>0</v>
      </c>
      <c r="Q701" s="322">
        <f t="shared" si="353"/>
        <v>0</v>
      </c>
      <c r="R701" s="322">
        <f t="shared" si="353"/>
        <v>0</v>
      </c>
      <c r="S701" s="312">
        <f t="shared" si="353"/>
        <v>0</v>
      </c>
      <c r="T701" s="312">
        <f t="shared" si="353"/>
        <v>0</v>
      </c>
      <c r="U701" s="132">
        <f t="shared" si="323"/>
        <v>75</v>
      </c>
      <c r="V701" s="132">
        <f t="shared" si="324"/>
        <v>75</v>
      </c>
    </row>
    <row r="702" spans="1:22" s="77" customFormat="1" ht="63" customHeight="1" outlineLevel="1" x14ac:dyDescent="0.25">
      <c r="A702" s="74" t="s">
        <v>115</v>
      </c>
      <c r="B702" s="75" t="s">
        <v>76</v>
      </c>
      <c r="C702" s="75" t="s">
        <v>51</v>
      </c>
      <c r="D702" s="75" t="s">
        <v>36</v>
      </c>
      <c r="E702" s="75" t="s">
        <v>458</v>
      </c>
      <c r="F702" s="75" t="s">
        <v>113</v>
      </c>
      <c r="G702" s="316"/>
      <c r="H702" s="316"/>
      <c r="I702" s="338"/>
      <c r="J702" s="338"/>
      <c r="K702" s="407"/>
      <c r="L702" s="408"/>
      <c r="M702" s="322"/>
      <c r="N702" s="322"/>
      <c r="O702" s="312"/>
      <c r="P702" s="312"/>
      <c r="Q702" s="322"/>
      <c r="R702" s="322"/>
      <c r="S702" s="312"/>
      <c r="T702" s="312"/>
      <c r="U702" s="131">
        <f t="shared" si="323"/>
        <v>0</v>
      </c>
      <c r="V702" s="131">
        <f t="shared" si="324"/>
        <v>0</v>
      </c>
    </row>
    <row r="703" spans="1:22" s="77" customFormat="1" ht="31.5" customHeight="1" outlineLevel="1" x14ac:dyDescent="0.25">
      <c r="A703" s="264" t="s">
        <v>124</v>
      </c>
      <c r="B703" s="265" t="s">
        <v>76</v>
      </c>
      <c r="C703" s="265" t="s">
        <v>51</v>
      </c>
      <c r="D703" s="265" t="s">
        <v>36</v>
      </c>
      <c r="E703" s="265" t="s">
        <v>458</v>
      </c>
      <c r="F703" s="265" t="s">
        <v>117</v>
      </c>
      <c r="G703" s="311"/>
      <c r="H703" s="311">
        <v>75</v>
      </c>
      <c r="I703" s="320"/>
      <c r="J703" s="320">
        <v>75</v>
      </c>
      <c r="K703" s="409"/>
      <c r="L703" s="409"/>
      <c r="M703" s="323"/>
      <c r="N703" s="323"/>
      <c r="O703" s="313"/>
      <c r="P703" s="313"/>
      <c r="Q703" s="323"/>
      <c r="R703" s="323"/>
      <c r="S703" s="313"/>
      <c r="T703" s="313"/>
      <c r="U703" s="131">
        <f t="shared" si="323"/>
        <v>75</v>
      </c>
      <c r="V703" s="131">
        <f t="shared" si="324"/>
        <v>75</v>
      </c>
    </row>
    <row r="704" spans="1:22" s="80" customFormat="1" ht="36" customHeight="1" outlineLevel="1" x14ac:dyDescent="0.25">
      <c r="A704" s="84" t="s">
        <v>469</v>
      </c>
      <c r="B704" s="75" t="s">
        <v>76</v>
      </c>
      <c r="C704" s="75" t="s">
        <v>51</v>
      </c>
      <c r="D704" s="75" t="s">
        <v>36</v>
      </c>
      <c r="E704" s="75" t="s">
        <v>458</v>
      </c>
      <c r="F704" s="75" t="s">
        <v>213</v>
      </c>
      <c r="G704" s="311"/>
      <c r="H704" s="311"/>
      <c r="I704" s="320"/>
      <c r="J704" s="320"/>
      <c r="K704" s="409"/>
      <c r="L704" s="409"/>
      <c r="M704" s="323"/>
      <c r="N704" s="323"/>
      <c r="O704" s="313"/>
      <c r="P704" s="313"/>
      <c r="Q704" s="323"/>
      <c r="R704" s="323"/>
      <c r="S704" s="313"/>
      <c r="T704" s="313"/>
      <c r="U704" s="131">
        <f t="shared" si="323"/>
        <v>0</v>
      </c>
      <c r="V704" s="131">
        <f t="shared" si="324"/>
        <v>0</v>
      </c>
    </row>
    <row r="705" spans="1:22" s="80" customFormat="1" ht="25.5" customHeight="1" outlineLevel="1" x14ac:dyDescent="0.25">
      <c r="A705" s="264" t="s">
        <v>843</v>
      </c>
      <c r="B705" s="265" t="s">
        <v>76</v>
      </c>
      <c r="C705" s="265" t="s">
        <v>51</v>
      </c>
      <c r="D705" s="265" t="s">
        <v>36</v>
      </c>
      <c r="E705" s="265" t="s">
        <v>458</v>
      </c>
      <c r="F705" s="265" t="s">
        <v>490</v>
      </c>
      <c r="G705" s="311"/>
      <c r="H705" s="311"/>
      <c r="I705" s="320"/>
      <c r="J705" s="320"/>
      <c r="K705" s="409"/>
      <c r="L705" s="409"/>
      <c r="M705" s="323"/>
      <c r="N705" s="323"/>
      <c r="O705" s="313"/>
      <c r="P705" s="313"/>
      <c r="Q705" s="323"/>
      <c r="R705" s="323"/>
      <c r="S705" s="313"/>
      <c r="T705" s="313"/>
      <c r="U705" s="131">
        <f t="shared" si="323"/>
        <v>0</v>
      </c>
      <c r="V705" s="131">
        <f t="shared" si="324"/>
        <v>0</v>
      </c>
    </row>
    <row r="706" spans="1:22" s="77" customFormat="1" ht="21.75" customHeight="1" outlineLevel="1" x14ac:dyDescent="0.25">
      <c r="A706" s="268" t="s">
        <v>995</v>
      </c>
      <c r="B706" s="79" t="s">
        <v>76</v>
      </c>
      <c r="C706" s="79" t="s">
        <v>51</v>
      </c>
      <c r="D706" s="79" t="s">
        <v>36</v>
      </c>
      <c r="E706" s="79" t="s">
        <v>864</v>
      </c>
      <c r="F706" s="79" t="s">
        <v>9</v>
      </c>
      <c r="G706" s="316">
        <f t="shared" ref="G706:T706" si="354">G707</f>
        <v>0</v>
      </c>
      <c r="H706" s="316">
        <f t="shared" si="354"/>
        <v>0</v>
      </c>
      <c r="I706" s="338">
        <f t="shared" si="354"/>
        <v>0</v>
      </c>
      <c r="J706" s="338">
        <f t="shared" si="354"/>
        <v>0</v>
      </c>
      <c r="K706" s="408">
        <f t="shared" si="354"/>
        <v>0</v>
      </c>
      <c r="L706" s="408">
        <f t="shared" si="354"/>
        <v>0</v>
      </c>
      <c r="M706" s="322">
        <f t="shared" si="354"/>
        <v>0</v>
      </c>
      <c r="N706" s="322">
        <f t="shared" si="354"/>
        <v>0</v>
      </c>
      <c r="O706" s="312">
        <f t="shared" si="354"/>
        <v>0</v>
      </c>
      <c r="P706" s="312">
        <f t="shared" si="354"/>
        <v>0</v>
      </c>
      <c r="Q706" s="322">
        <f t="shared" si="354"/>
        <v>0</v>
      </c>
      <c r="R706" s="322">
        <f t="shared" si="354"/>
        <v>0</v>
      </c>
      <c r="S706" s="312">
        <f t="shared" si="354"/>
        <v>0</v>
      </c>
      <c r="T706" s="312">
        <f t="shared" si="354"/>
        <v>0</v>
      </c>
      <c r="U706" s="132">
        <f t="shared" si="323"/>
        <v>0</v>
      </c>
      <c r="V706" s="132">
        <f t="shared" si="324"/>
        <v>0</v>
      </c>
    </row>
    <row r="707" spans="1:22" s="77" customFormat="1" ht="21" customHeight="1" outlineLevel="1" x14ac:dyDescent="0.25">
      <c r="A707" s="264" t="s">
        <v>843</v>
      </c>
      <c r="B707" s="265" t="s">
        <v>76</v>
      </c>
      <c r="C707" s="265" t="s">
        <v>51</v>
      </c>
      <c r="D707" s="265" t="s">
        <v>36</v>
      </c>
      <c r="E707" s="265" t="s">
        <v>864</v>
      </c>
      <c r="F707" s="265" t="s">
        <v>490</v>
      </c>
      <c r="G707" s="311"/>
      <c r="H707" s="311"/>
      <c r="I707" s="320"/>
      <c r="J707" s="320"/>
      <c r="K707" s="409"/>
      <c r="L707" s="409"/>
      <c r="M707" s="323"/>
      <c r="N707" s="323"/>
      <c r="O707" s="313"/>
      <c r="P707" s="313"/>
      <c r="Q707" s="323"/>
      <c r="R707" s="323"/>
      <c r="S707" s="313"/>
      <c r="T707" s="313"/>
      <c r="U707" s="131">
        <f t="shared" si="323"/>
        <v>0</v>
      </c>
      <c r="V707" s="131">
        <f t="shared" si="324"/>
        <v>0</v>
      </c>
    </row>
    <row r="708" spans="1:22" s="77" customFormat="1" collapsed="1" x14ac:dyDescent="0.25">
      <c r="A708" s="268" t="s">
        <v>996</v>
      </c>
      <c r="B708" s="79" t="s">
        <v>76</v>
      </c>
      <c r="C708" s="79" t="s">
        <v>51</v>
      </c>
      <c r="D708" s="79" t="s">
        <v>20</v>
      </c>
      <c r="E708" s="79" t="s">
        <v>365</v>
      </c>
      <c r="F708" s="79" t="s">
        <v>9</v>
      </c>
      <c r="G708" s="316">
        <f t="shared" ref="G708:T709" si="355">G709</f>
        <v>0</v>
      </c>
      <c r="H708" s="316">
        <f t="shared" si="355"/>
        <v>13313</v>
      </c>
      <c r="I708" s="338">
        <f t="shared" si="355"/>
        <v>0</v>
      </c>
      <c r="J708" s="338">
        <f t="shared" si="355"/>
        <v>13313</v>
      </c>
      <c r="K708" s="408">
        <f t="shared" si="355"/>
        <v>0</v>
      </c>
      <c r="L708" s="408">
        <f t="shared" si="355"/>
        <v>0</v>
      </c>
      <c r="M708" s="322">
        <f t="shared" si="355"/>
        <v>0</v>
      </c>
      <c r="N708" s="322">
        <f t="shared" si="355"/>
        <v>0</v>
      </c>
      <c r="O708" s="312">
        <f t="shared" si="355"/>
        <v>0</v>
      </c>
      <c r="P708" s="312">
        <f t="shared" si="355"/>
        <v>0</v>
      </c>
      <c r="Q708" s="322">
        <f t="shared" si="355"/>
        <v>0</v>
      </c>
      <c r="R708" s="322">
        <f t="shared" si="355"/>
        <v>0</v>
      </c>
      <c r="S708" s="312">
        <f t="shared" si="355"/>
        <v>0</v>
      </c>
      <c r="T708" s="312">
        <f t="shared" si="355"/>
        <v>0</v>
      </c>
      <c r="U708" s="132">
        <f t="shared" si="323"/>
        <v>13313</v>
      </c>
      <c r="V708" s="132">
        <f t="shared" si="324"/>
        <v>13313</v>
      </c>
    </row>
    <row r="709" spans="1:22" s="77" customFormat="1" ht="31.5" x14ac:dyDescent="0.25">
      <c r="A709" s="78" t="s">
        <v>784</v>
      </c>
      <c r="B709" s="79" t="s">
        <v>76</v>
      </c>
      <c r="C709" s="79" t="s">
        <v>51</v>
      </c>
      <c r="D709" s="79" t="s">
        <v>20</v>
      </c>
      <c r="E709" s="79" t="s">
        <v>380</v>
      </c>
      <c r="F709" s="79" t="s">
        <v>9</v>
      </c>
      <c r="G709" s="316">
        <f t="shared" si="355"/>
        <v>0</v>
      </c>
      <c r="H709" s="316">
        <f t="shared" si="355"/>
        <v>13313</v>
      </c>
      <c r="I709" s="338">
        <f t="shared" si="355"/>
        <v>0</v>
      </c>
      <c r="J709" s="338">
        <f t="shared" si="355"/>
        <v>13313</v>
      </c>
      <c r="K709" s="408">
        <f t="shared" si="355"/>
        <v>0</v>
      </c>
      <c r="L709" s="408">
        <f t="shared" si="355"/>
        <v>0</v>
      </c>
      <c r="M709" s="322">
        <f t="shared" si="355"/>
        <v>0</v>
      </c>
      <c r="N709" s="322">
        <f t="shared" si="355"/>
        <v>0</v>
      </c>
      <c r="O709" s="312">
        <f t="shared" si="355"/>
        <v>0</v>
      </c>
      <c r="P709" s="312">
        <f t="shared" si="355"/>
        <v>0</v>
      </c>
      <c r="Q709" s="322">
        <f t="shared" si="355"/>
        <v>0</v>
      </c>
      <c r="R709" s="322">
        <f t="shared" si="355"/>
        <v>0</v>
      </c>
      <c r="S709" s="312">
        <f t="shared" si="355"/>
        <v>0</v>
      </c>
      <c r="T709" s="312">
        <f t="shared" si="355"/>
        <v>0</v>
      </c>
      <c r="U709" s="132">
        <f t="shared" si="323"/>
        <v>13313</v>
      </c>
      <c r="V709" s="132">
        <f t="shared" si="324"/>
        <v>13313</v>
      </c>
    </row>
    <row r="710" spans="1:22" s="77" customFormat="1" x14ac:dyDescent="0.25">
      <c r="A710" s="78" t="s">
        <v>15</v>
      </c>
      <c r="B710" s="79" t="s">
        <v>76</v>
      </c>
      <c r="C710" s="79" t="s">
        <v>51</v>
      </c>
      <c r="D710" s="79" t="s">
        <v>20</v>
      </c>
      <c r="E710" s="79" t="s">
        <v>433</v>
      </c>
      <c r="F710" s="79" t="s">
        <v>9</v>
      </c>
      <c r="G710" s="316">
        <f t="shared" ref="G710:T710" si="356">G711+G713</f>
        <v>0</v>
      </c>
      <c r="H710" s="316">
        <f>H711+H713</f>
        <v>13313</v>
      </c>
      <c r="I710" s="338">
        <f t="shared" si="356"/>
        <v>0</v>
      </c>
      <c r="J710" s="338">
        <f>J711+J713</f>
        <v>13313</v>
      </c>
      <c r="K710" s="408">
        <f t="shared" si="356"/>
        <v>0</v>
      </c>
      <c r="L710" s="408">
        <f t="shared" si="356"/>
        <v>0</v>
      </c>
      <c r="M710" s="322">
        <f t="shared" si="356"/>
        <v>0</v>
      </c>
      <c r="N710" s="322">
        <f t="shared" si="356"/>
        <v>0</v>
      </c>
      <c r="O710" s="312">
        <f t="shared" si="356"/>
        <v>0</v>
      </c>
      <c r="P710" s="312">
        <f t="shared" si="356"/>
        <v>0</v>
      </c>
      <c r="Q710" s="322">
        <f t="shared" si="356"/>
        <v>0</v>
      </c>
      <c r="R710" s="322">
        <f t="shared" si="356"/>
        <v>0</v>
      </c>
      <c r="S710" s="312">
        <f t="shared" si="356"/>
        <v>0</v>
      </c>
      <c r="T710" s="312">
        <f t="shared" si="356"/>
        <v>0</v>
      </c>
      <c r="U710" s="132">
        <f t="shared" si="323"/>
        <v>13313</v>
      </c>
      <c r="V710" s="132">
        <f t="shared" si="324"/>
        <v>13313</v>
      </c>
    </row>
    <row r="711" spans="1:22" s="77" customFormat="1" ht="31.5" x14ac:dyDescent="0.25">
      <c r="A711" s="268" t="s">
        <v>997</v>
      </c>
      <c r="B711" s="79" t="s">
        <v>76</v>
      </c>
      <c r="C711" s="79" t="s">
        <v>51</v>
      </c>
      <c r="D711" s="79" t="s">
        <v>20</v>
      </c>
      <c r="E711" s="79" t="s">
        <v>493</v>
      </c>
      <c r="F711" s="79" t="s">
        <v>9</v>
      </c>
      <c r="G711" s="316">
        <f t="shared" ref="G711:T711" si="357">G712</f>
        <v>0</v>
      </c>
      <c r="H711" s="316">
        <f t="shared" si="357"/>
        <v>1613</v>
      </c>
      <c r="I711" s="338">
        <f t="shared" si="357"/>
        <v>0</v>
      </c>
      <c r="J711" s="338">
        <f t="shared" si="357"/>
        <v>1613</v>
      </c>
      <c r="K711" s="408">
        <f t="shared" si="357"/>
        <v>0</v>
      </c>
      <c r="L711" s="408">
        <f t="shared" si="357"/>
        <v>0</v>
      </c>
      <c r="M711" s="322">
        <f t="shared" si="357"/>
        <v>0</v>
      </c>
      <c r="N711" s="322">
        <f t="shared" si="357"/>
        <v>0</v>
      </c>
      <c r="O711" s="312">
        <f t="shared" si="357"/>
        <v>0</v>
      </c>
      <c r="P711" s="312">
        <f t="shared" si="357"/>
        <v>0</v>
      </c>
      <c r="Q711" s="322">
        <f t="shared" si="357"/>
        <v>0</v>
      </c>
      <c r="R711" s="322">
        <f t="shared" si="357"/>
        <v>0</v>
      </c>
      <c r="S711" s="312">
        <f t="shared" si="357"/>
        <v>0</v>
      </c>
      <c r="T711" s="312">
        <f t="shared" si="357"/>
        <v>0</v>
      </c>
      <c r="U711" s="132">
        <f t="shared" ref="U711:U745" si="358">G711+K711+M711+O711+Q711+S711+H711</f>
        <v>1613</v>
      </c>
      <c r="V711" s="132">
        <f t="shared" ref="V711:V745" si="359">I711+L711+N711+P711+R711+T711+J711</f>
        <v>1613</v>
      </c>
    </row>
    <row r="712" spans="1:22" s="77" customFormat="1" ht="31.5" x14ac:dyDescent="0.25">
      <c r="A712" s="264" t="s">
        <v>843</v>
      </c>
      <c r="B712" s="265" t="s">
        <v>76</v>
      </c>
      <c r="C712" s="265" t="s">
        <v>51</v>
      </c>
      <c r="D712" s="265" t="s">
        <v>20</v>
      </c>
      <c r="E712" s="265" t="s">
        <v>493</v>
      </c>
      <c r="F712" s="265" t="s">
        <v>490</v>
      </c>
      <c r="G712" s="311"/>
      <c r="H712" s="311">
        <f>13313-10000-1700</f>
        <v>1613</v>
      </c>
      <c r="I712" s="320"/>
      <c r="J712" s="320">
        <f>13313-10000-1700</f>
        <v>1613</v>
      </c>
      <c r="K712" s="409"/>
      <c r="L712" s="409"/>
      <c r="M712" s="323"/>
      <c r="N712" s="321"/>
      <c r="O712" s="313"/>
      <c r="P712" s="313"/>
      <c r="Q712" s="323"/>
      <c r="R712" s="323"/>
      <c r="S712" s="313"/>
      <c r="T712" s="313"/>
      <c r="U712" s="131">
        <f t="shared" si="358"/>
        <v>1613</v>
      </c>
      <c r="V712" s="131">
        <f t="shared" si="359"/>
        <v>1613</v>
      </c>
    </row>
    <row r="713" spans="1:22" s="77" customFormat="1" ht="31.5" x14ac:dyDescent="0.25">
      <c r="A713" s="268" t="s">
        <v>997</v>
      </c>
      <c r="B713" s="79" t="s">
        <v>76</v>
      </c>
      <c r="C713" s="79" t="s">
        <v>51</v>
      </c>
      <c r="D713" s="79" t="s">
        <v>20</v>
      </c>
      <c r="E713" s="79" t="s">
        <v>998</v>
      </c>
      <c r="F713" s="79" t="s">
        <v>9</v>
      </c>
      <c r="G713" s="316">
        <f t="shared" ref="G713:T713" si="360">G714</f>
        <v>0</v>
      </c>
      <c r="H713" s="316">
        <f t="shared" si="360"/>
        <v>11700</v>
      </c>
      <c r="I713" s="338">
        <f t="shared" si="360"/>
        <v>0</v>
      </c>
      <c r="J713" s="338">
        <f t="shared" si="360"/>
        <v>11700</v>
      </c>
      <c r="K713" s="408">
        <f t="shared" si="360"/>
        <v>0</v>
      </c>
      <c r="L713" s="408">
        <f t="shared" si="360"/>
        <v>0</v>
      </c>
      <c r="M713" s="322">
        <f t="shared" si="360"/>
        <v>0</v>
      </c>
      <c r="N713" s="322">
        <f t="shared" si="360"/>
        <v>0</v>
      </c>
      <c r="O713" s="312">
        <f t="shared" si="360"/>
        <v>0</v>
      </c>
      <c r="P713" s="312">
        <f t="shared" si="360"/>
        <v>0</v>
      </c>
      <c r="Q713" s="322">
        <f t="shared" si="360"/>
        <v>0</v>
      </c>
      <c r="R713" s="322">
        <f t="shared" si="360"/>
        <v>0</v>
      </c>
      <c r="S713" s="312">
        <f t="shared" si="360"/>
        <v>0</v>
      </c>
      <c r="T713" s="312">
        <f t="shared" si="360"/>
        <v>0</v>
      </c>
      <c r="U713" s="132">
        <f t="shared" si="358"/>
        <v>11700</v>
      </c>
      <c r="V713" s="132">
        <f t="shared" si="359"/>
        <v>11700</v>
      </c>
    </row>
    <row r="714" spans="1:22" s="77" customFormat="1" x14ac:dyDescent="0.25">
      <c r="A714" s="264" t="s">
        <v>1016</v>
      </c>
      <c r="B714" s="265" t="s">
        <v>76</v>
      </c>
      <c r="C714" s="265" t="s">
        <v>51</v>
      </c>
      <c r="D714" s="265" t="s">
        <v>20</v>
      </c>
      <c r="E714" s="265" t="s">
        <v>998</v>
      </c>
      <c r="F714" s="265" t="s">
        <v>490</v>
      </c>
      <c r="G714" s="311"/>
      <c r="H714" s="311">
        <f>10000+1700</f>
        <v>11700</v>
      </c>
      <c r="I714" s="320"/>
      <c r="J714" s="320">
        <f>10000+1700</f>
        <v>11700</v>
      </c>
      <c r="K714" s="409"/>
      <c r="L714" s="409"/>
      <c r="M714" s="323"/>
      <c r="N714" s="323"/>
      <c r="O714" s="313"/>
      <c r="P714" s="313"/>
      <c r="Q714" s="323"/>
      <c r="R714" s="323"/>
      <c r="S714" s="313"/>
      <c r="T714" s="313"/>
      <c r="U714" s="131">
        <f t="shared" si="358"/>
        <v>11700</v>
      </c>
      <c r="V714" s="131">
        <f t="shared" si="359"/>
        <v>11700</v>
      </c>
    </row>
    <row r="715" spans="1:22" s="77" customFormat="1" x14ac:dyDescent="0.25">
      <c r="A715" s="74" t="s">
        <v>59</v>
      </c>
      <c r="B715" s="265" t="s">
        <v>76</v>
      </c>
      <c r="C715" s="75" t="s">
        <v>28</v>
      </c>
      <c r="D715" s="75" t="s">
        <v>10</v>
      </c>
      <c r="E715" s="75" t="s">
        <v>365</v>
      </c>
      <c r="F715" s="75" t="s">
        <v>9</v>
      </c>
      <c r="G715" s="311">
        <f>G716</f>
        <v>0</v>
      </c>
      <c r="H715" s="311">
        <f t="shared" ref="H715:T718" si="361">H716</f>
        <v>14.3</v>
      </c>
      <c r="I715" s="320">
        <f t="shared" si="361"/>
        <v>0</v>
      </c>
      <c r="J715" s="320">
        <f t="shared" si="361"/>
        <v>13.91123</v>
      </c>
      <c r="K715" s="407">
        <f t="shared" si="361"/>
        <v>0</v>
      </c>
      <c r="L715" s="407">
        <f t="shared" si="361"/>
        <v>0</v>
      </c>
      <c r="M715" s="321">
        <f t="shared" si="361"/>
        <v>0</v>
      </c>
      <c r="N715" s="321">
        <f t="shared" si="361"/>
        <v>0</v>
      </c>
      <c r="O715" s="310">
        <f t="shared" si="361"/>
        <v>0</v>
      </c>
      <c r="P715" s="310">
        <f t="shared" si="361"/>
        <v>0</v>
      </c>
      <c r="Q715" s="321">
        <f t="shared" si="361"/>
        <v>0</v>
      </c>
      <c r="R715" s="321">
        <f t="shared" si="361"/>
        <v>0</v>
      </c>
      <c r="S715" s="310">
        <f t="shared" si="361"/>
        <v>0</v>
      </c>
      <c r="T715" s="310">
        <f t="shared" si="361"/>
        <v>0</v>
      </c>
      <c r="U715" s="131">
        <f t="shared" si="358"/>
        <v>14.3</v>
      </c>
      <c r="V715" s="131">
        <f t="shared" si="359"/>
        <v>13.91123</v>
      </c>
    </row>
    <row r="716" spans="1:22" s="77" customFormat="1" ht="31.5" x14ac:dyDescent="0.25">
      <c r="A716" s="78" t="s">
        <v>60</v>
      </c>
      <c r="B716" s="285" t="s">
        <v>76</v>
      </c>
      <c r="C716" s="79" t="s">
        <v>28</v>
      </c>
      <c r="D716" s="79" t="s">
        <v>14</v>
      </c>
      <c r="E716" s="79" t="s">
        <v>365</v>
      </c>
      <c r="F716" s="79" t="s">
        <v>9</v>
      </c>
      <c r="G716" s="311">
        <f>G717</f>
        <v>0</v>
      </c>
      <c r="H716" s="311">
        <f t="shared" si="361"/>
        <v>14.3</v>
      </c>
      <c r="I716" s="320">
        <f t="shared" si="361"/>
        <v>0</v>
      </c>
      <c r="J716" s="320">
        <f t="shared" si="361"/>
        <v>13.91123</v>
      </c>
      <c r="K716" s="407">
        <f t="shared" si="361"/>
        <v>0</v>
      </c>
      <c r="L716" s="407">
        <f t="shared" si="361"/>
        <v>0</v>
      </c>
      <c r="M716" s="321">
        <f t="shared" si="361"/>
        <v>0</v>
      </c>
      <c r="N716" s="321">
        <f t="shared" si="361"/>
        <v>0</v>
      </c>
      <c r="O716" s="310">
        <f t="shared" si="361"/>
        <v>0</v>
      </c>
      <c r="P716" s="310">
        <f t="shared" si="361"/>
        <v>0</v>
      </c>
      <c r="Q716" s="321">
        <f t="shared" si="361"/>
        <v>0</v>
      </c>
      <c r="R716" s="321">
        <f t="shared" si="361"/>
        <v>0</v>
      </c>
      <c r="S716" s="310">
        <f t="shared" si="361"/>
        <v>0</v>
      </c>
      <c r="T716" s="310">
        <f t="shared" si="361"/>
        <v>0</v>
      </c>
      <c r="U716" s="132">
        <f t="shared" si="358"/>
        <v>14.3</v>
      </c>
      <c r="V716" s="132">
        <f t="shared" si="359"/>
        <v>13.91123</v>
      </c>
    </row>
    <row r="717" spans="1:22" s="77" customFormat="1" ht="31.5" x14ac:dyDescent="0.25">
      <c r="A717" s="78" t="s">
        <v>785</v>
      </c>
      <c r="B717" s="285" t="s">
        <v>76</v>
      </c>
      <c r="C717" s="79" t="s">
        <v>28</v>
      </c>
      <c r="D717" s="79" t="s">
        <v>14</v>
      </c>
      <c r="E717" s="79" t="s">
        <v>389</v>
      </c>
      <c r="F717" s="79" t="s">
        <v>9</v>
      </c>
      <c r="G717" s="311">
        <f>G718</f>
        <v>0</v>
      </c>
      <c r="H717" s="311">
        <f t="shared" si="361"/>
        <v>14.3</v>
      </c>
      <c r="I717" s="320">
        <f t="shared" si="361"/>
        <v>0</v>
      </c>
      <c r="J717" s="320">
        <f t="shared" si="361"/>
        <v>13.91123</v>
      </c>
      <c r="K717" s="407">
        <f t="shared" si="361"/>
        <v>0</v>
      </c>
      <c r="L717" s="407">
        <f t="shared" si="361"/>
        <v>0</v>
      </c>
      <c r="M717" s="321">
        <f t="shared" si="361"/>
        <v>0</v>
      </c>
      <c r="N717" s="321">
        <f t="shared" si="361"/>
        <v>0</v>
      </c>
      <c r="O717" s="310">
        <f t="shared" si="361"/>
        <v>0</v>
      </c>
      <c r="P717" s="310">
        <f t="shared" si="361"/>
        <v>0</v>
      </c>
      <c r="Q717" s="321">
        <f t="shared" si="361"/>
        <v>0</v>
      </c>
      <c r="R717" s="321">
        <f t="shared" si="361"/>
        <v>0</v>
      </c>
      <c r="S717" s="310">
        <f t="shared" si="361"/>
        <v>0</v>
      </c>
      <c r="T717" s="310">
        <f t="shared" si="361"/>
        <v>0</v>
      </c>
      <c r="U717" s="132">
        <f t="shared" si="358"/>
        <v>14.3</v>
      </c>
      <c r="V717" s="132">
        <f t="shared" si="359"/>
        <v>13.91123</v>
      </c>
    </row>
    <row r="718" spans="1:22" s="77" customFormat="1" ht="16.5" customHeight="1" x14ac:dyDescent="0.25">
      <c r="A718" s="78" t="s">
        <v>61</v>
      </c>
      <c r="B718" s="285" t="s">
        <v>76</v>
      </c>
      <c r="C718" s="79" t="s">
        <v>28</v>
      </c>
      <c r="D718" s="79" t="s">
        <v>14</v>
      </c>
      <c r="E718" s="79" t="s">
        <v>400</v>
      </c>
      <c r="F718" s="79" t="s">
        <v>9</v>
      </c>
      <c r="G718" s="311">
        <f>G719</f>
        <v>0</v>
      </c>
      <c r="H718" s="311">
        <f t="shared" si="361"/>
        <v>14.3</v>
      </c>
      <c r="I718" s="320">
        <f t="shared" si="361"/>
        <v>0</v>
      </c>
      <c r="J718" s="320">
        <f t="shared" si="361"/>
        <v>13.91123</v>
      </c>
      <c r="K718" s="407">
        <f t="shared" si="361"/>
        <v>0</v>
      </c>
      <c r="L718" s="407">
        <f t="shared" si="361"/>
        <v>0</v>
      </c>
      <c r="M718" s="321">
        <f t="shared" si="361"/>
        <v>0</v>
      </c>
      <c r="N718" s="321">
        <f t="shared" si="361"/>
        <v>0</v>
      </c>
      <c r="O718" s="310">
        <f t="shared" si="361"/>
        <v>0</v>
      </c>
      <c r="P718" s="310">
        <f t="shared" si="361"/>
        <v>0</v>
      </c>
      <c r="Q718" s="321">
        <f t="shared" si="361"/>
        <v>0</v>
      </c>
      <c r="R718" s="321">
        <f t="shared" si="361"/>
        <v>0</v>
      </c>
      <c r="S718" s="310">
        <f t="shared" si="361"/>
        <v>0</v>
      </c>
      <c r="T718" s="310">
        <f t="shared" si="361"/>
        <v>0</v>
      </c>
      <c r="U718" s="132">
        <f t="shared" si="358"/>
        <v>14.3</v>
      </c>
      <c r="V718" s="132">
        <f t="shared" si="359"/>
        <v>13.91123</v>
      </c>
    </row>
    <row r="719" spans="1:22" s="77" customFormat="1" x14ac:dyDescent="0.25">
      <c r="A719" s="264" t="s">
        <v>126</v>
      </c>
      <c r="B719" s="265" t="s">
        <v>76</v>
      </c>
      <c r="C719" s="265" t="s">
        <v>28</v>
      </c>
      <c r="D719" s="265" t="s">
        <v>14</v>
      </c>
      <c r="E719" s="265" t="s">
        <v>400</v>
      </c>
      <c r="F719" s="265" t="s">
        <v>120</v>
      </c>
      <c r="G719" s="311"/>
      <c r="H719" s="311">
        <v>14.3</v>
      </c>
      <c r="I719" s="320"/>
      <c r="J719" s="325">
        <v>13.91123</v>
      </c>
      <c r="K719" s="409"/>
      <c r="L719" s="409"/>
      <c r="M719" s="323"/>
      <c r="N719" s="323"/>
      <c r="O719" s="313"/>
      <c r="P719" s="313"/>
      <c r="Q719" s="323"/>
      <c r="R719" s="323"/>
      <c r="S719" s="313"/>
      <c r="T719" s="313"/>
      <c r="U719" s="131">
        <f t="shared" si="358"/>
        <v>14.3</v>
      </c>
      <c r="V719" s="131">
        <f t="shared" si="359"/>
        <v>13.91123</v>
      </c>
    </row>
    <row r="720" spans="1:22" s="80" customFormat="1" ht="47.25" x14ac:dyDescent="0.25">
      <c r="A720" s="74" t="s">
        <v>100</v>
      </c>
      <c r="B720" s="75" t="s">
        <v>101</v>
      </c>
      <c r="C720" s="75" t="s">
        <v>10</v>
      </c>
      <c r="D720" s="75" t="s">
        <v>10</v>
      </c>
      <c r="E720" s="75" t="s">
        <v>365</v>
      </c>
      <c r="F720" s="75" t="s">
        <v>9</v>
      </c>
      <c r="G720" s="311">
        <f t="shared" ref="G720:T720" si="362">G721</f>
        <v>0</v>
      </c>
      <c r="H720" s="311">
        <f t="shared" si="362"/>
        <v>401.6</v>
      </c>
      <c r="I720" s="320">
        <f t="shared" si="362"/>
        <v>0</v>
      </c>
      <c r="J720" s="320">
        <f t="shared" si="362"/>
        <v>401.6</v>
      </c>
      <c r="K720" s="407">
        <f t="shared" si="362"/>
        <v>0</v>
      </c>
      <c r="L720" s="407">
        <f t="shared" si="362"/>
        <v>0</v>
      </c>
      <c r="M720" s="321">
        <f t="shared" si="362"/>
        <v>0</v>
      </c>
      <c r="N720" s="321">
        <f t="shared" si="362"/>
        <v>0</v>
      </c>
      <c r="O720" s="310">
        <f t="shared" si="362"/>
        <v>0</v>
      </c>
      <c r="P720" s="310">
        <f t="shared" si="362"/>
        <v>0</v>
      </c>
      <c r="Q720" s="321">
        <f t="shared" si="362"/>
        <v>0</v>
      </c>
      <c r="R720" s="321">
        <f t="shared" si="362"/>
        <v>0</v>
      </c>
      <c r="S720" s="310">
        <f t="shared" si="362"/>
        <v>0</v>
      </c>
      <c r="T720" s="310">
        <f t="shared" si="362"/>
        <v>0</v>
      </c>
      <c r="U720" s="131">
        <f t="shared" si="358"/>
        <v>401.6</v>
      </c>
      <c r="V720" s="131">
        <f t="shared" si="359"/>
        <v>401.6</v>
      </c>
    </row>
    <row r="721" spans="1:40" s="80" customFormat="1" x14ac:dyDescent="0.25">
      <c r="A721" s="74" t="s">
        <v>23</v>
      </c>
      <c r="B721" s="75" t="s">
        <v>101</v>
      </c>
      <c r="C721" s="75" t="s">
        <v>14</v>
      </c>
      <c r="D721" s="75" t="s">
        <v>10</v>
      </c>
      <c r="E721" s="75" t="s">
        <v>365</v>
      </c>
      <c r="F721" s="75" t="s">
        <v>9</v>
      </c>
      <c r="G721" s="311">
        <f t="shared" ref="G721:O721" si="363">G722+G727</f>
        <v>0</v>
      </c>
      <c r="H721" s="311">
        <f>H722+H727</f>
        <v>401.6</v>
      </c>
      <c r="I721" s="320">
        <f t="shared" si="363"/>
        <v>0</v>
      </c>
      <c r="J721" s="320">
        <f>J722+J727</f>
        <v>401.6</v>
      </c>
      <c r="K721" s="407">
        <f t="shared" si="363"/>
        <v>0</v>
      </c>
      <c r="L721" s="407">
        <f t="shared" si="363"/>
        <v>0</v>
      </c>
      <c r="M721" s="321">
        <f t="shared" si="363"/>
        <v>0</v>
      </c>
      <c r="N721" s="321">
        <f t="shared" si="363"/>
        <v>0</v>
      </c>
      <c r="O721" s="310">
        <f t="shared" si="363"/>
        <v>0</v>
      </c>
      <c r="P721" s="310">
        <f>P722+P727</f>
        <v>0</v>
      </c>
      <c r="Q721" s="321">
        <f>Q722+Q727</f>
        <v>0</v>
      </c>
      <c r="R721" s="321">
        <f>R722+R727</f>
        <v>0</v>
      </c>
      <c r="S721" s="310">
        <f>S722+S727</f>
        <v>0</v>
      </c>
      <c r="T721" s="310">
        <f>T722+T727</f>
        <v>0</v>
      </c>
      <c r="U721" s="131">
        <f t="shared" si="358"/>
        <v>401.6</v>
      </c>
      <c r="V721" s="131">
        <f t="shared" si="359"/>
        <v>401.6</v>
      </c>
    </row>
    <row r="722" spans="1:40" s="80" customFormat="1" ht="47.25" x14ac:dyDescent="0.25">
      <c r="A722" s="78" t="s">
        <v>104</v>
      </c>
      <c r="B722" s="79" t="s">
        <v>101</v>
      </c>
      <c r="C722" s="79" t="s">
        <v>14</v>
      </c>
      <c r="D722" s="79" t="s">
        <v>20</v>
      </c>
      <c r="E722" s="79" t="s">
        <v>365</v>
      </c>
      <c r="F722" s="79" t="s">
        <v>9</v>
      </c>
      <c r="G722" s="316">
        <f t="shared" ref="G722:T725" si="364">G723</f>
        <v>0</v>
      </c>
      <c r="H722" s="316">
        <f t="shared" si="364"/>
        <v>401.6</v>
      </c>
      <c r="I722" s="338">
        <f t="shared" si="364"/>
        <v>0</v>
      </c>
      <c r="J722" s="338">
        <f t="shared" si="364"/>
        <v>401.6</v>
      </c>
      <c r="K722" s="408">
        <f t="shared" si="364"/>
        <v>0</v>
      </c>
      <c r="L722" s="408">
        <f t="shared" si="364"/>
        <v>0</v>
      </c>
      <c r="M722" s="322">
        <f t="shared" si="364"/>
        <v>0</v>
      </c>
      <c r="N722" s="322">
        <f t="shared" si="364"/>
        <v>0</v>
      </c>
      <c r="O722" s="312">
        <f t="shared" si="364"/>
        <v>0</v>
      </c>
      <c r="P722" s="312">
        <f t="shared" si="364"/>
        <v>0</v>
      </c>
      <c r="Q722" s="322">
        <f t="shared" si="364"/>
        <v>0</v>
      </c>
      <c r="R722" s="322">
        <f t="shared" si="364"/>
        <v>0</v>
      </c>
      <c r="S722" s="312">
        <f t="shared" si="364"/>
        <v>0</v>
      </c>
      <c r="T722" s="312">
        <f t="shared" si="364"/>
        <v>0</v>
      </c>
      <c r="U722" s="132">
        <f t="shared" si="358"/>
        <v>401.6</v>
      </c>
      <c r="V722" s="132">
        <f t="shared" si="359"/>
        <v>401.6</v>
      </c>
    </row>
    <row r="723" spans="1:40" s="77" customFormat="1" x14ac:dyDescent="0.25">
      <c r="A723" s="78" t="s">
        <v>103</v>
      </c>
      <c r="B723" s="79" t="s">
        <v>101</v>
      </c>
      <c r="C723" s="79" t="s">
        <v>14</v>
      </c>
      <c r="D723" s="79" t="s">
        <v>20</v>
      </c>
      <c r="E723" s="79" t="s">
        <v>459</v>
      </c>
      <c r="F723" s="79" t="s">
        <v>9</v>
      </c>
      <c r="G723" s="316">
        <f t="shared" si="364"/>
        <v>0</v>
      </c>
      <c r="H723" s="316">
        <f t="shared" si="364"/>
        <v>401.6</v>
      </c>
      <c r="I723" s="338">
        <f t="shared" si="364"/>
        <v>0</v>
      </c>
      <c r="J723" s="338">
        <f t="shared" si="364"/>
        <v>401.6</v>
      </c>
      <c r="K723" s="408">
        <f t="shared" si="364"/>
        <v>0</v>
      </c>
      <c r="L723" s="408">
        <f t="shared" si="364"/>
        <v>0</v>
      </c>
      <c r="M723" s="322">
        <f t="shared" si="364"/>
        <v>0</v>
      </c>
      <c r="N723" s="322">
        <f t="shared" si="364"/>
        <v>0</v>
      </c>
      <c r="O723" s="312">
        <f t="shared" si="364"/>
        <v>0</v>
      </c>
      <c r="P723" s="312">
        <f t="shared" si="364"/>
        <v>0</v>
      </c>
      <c r="Q723" s="322">
        <f t="shared" si="364"/>
        <v>0</v>
      </c>
      <c r="R723" s="322">
        <f t="shared" si="364"/>
        <v>0</v>
      </c>
      <c r="S723" s="312">
        <f t="shared" si="364"/>
        <v>0</v>
      </c>
      <c r="T723" s="312">
        <f t="shared" si="364"/>
        <v>0</v>
      </c>
      <c r="U723" s="132">
        <f t="shared" si="358"/>
        <v>401.6</v>
      </c>
      <c r="V723" s="132">
        <f t="shared" si="359"/>
        <v>401.6</v>
      </c>
    </row>
    <row r="724" spans="1:40" s="77" customFormat="1" ht="31.5" x14ac:dyDescent="0.25">
      <c r="A724" s="78" t="s">
        <v>796</v>
      </c>
      <c r="B724" s="79" t="s">
        <v>101</v>
      </c>
      <c r="C724" s="79" t="s">
        <v>14</v>
      </c>
      <c r="D724" s="79" t="s">
        <v>20</v>
      </c>
      <c r="E724" s="79" t="s">
        <v>791</v>
      </c>
      <c r="F724" s="79" t="s">
        <v>9</v>
      </c>
      <c r="G724" s="316">
        <f t="shared" si="364"/>
        <v>0</v>
      </c>
      <c r="H724" s="316">
        <f t="shared" si="364"/>
        <v>401.6</v>
      </c>
      <c r="I724" s="338">
        <f t="shared" si="364"/>
        <v>0</v>
      </c>
      <c r="J724" s="338">
        <f t="shared" si="364"/>
        <v>401.6</v>
      </c>
      <c r="K724" s="408">
        <f t="shared" si="364"/>
        <v>0</v>
      </c>
      <c r="L724" s="408">
        <f t="shared" si="364"/>
        <v>0</v>
      </c>
      <c r="M724" s="322">
        <f t="shared" si="364"/>
        <v>0</v>
      </c>
      <c r="N724" s="322">
        <f t="shared" si="364"/>
        <v>0</v>
      </c>
      <c r="O724" s="312">
        <f t="shared" si="364"/>
        <v>0</v>
      </c>
      <c r="P724" s="312">
        <f t="shared" si="364"/>
        <v>0</v>
      </c>
      <c r="Q724" s="322">
        <f t="shared" si="364"/>
        <v>0</v>
      </c>
      <c r="R724" s="322">
        <f t="shared" si="364"/>
        <v>0</v>
      </c>
      <c r="S724" s="312">
        <f t="shared" si="364"/>
        <v>0</v>
      </c>
      <c r="T724" s="312">
        <f t="shared" si="364"/>
        <v>0</v>
      </c>
      <c r="U724" s="132">
        <f t="shared" si="358"/>
        <v>401.6</v>
      </c>
      <c r="V724" s="132">
        <f t="shared" si="359"/>
        <v>401.6</v>
      </c>
    </row>
    <row r="725" spans="1:40" s="80" customFormat="1" x14ac:dyDescent="0.25">
      <c r="A725" s="78" t="s">
        <v>105</v>
      </c>
      <c r="B725" s="79" t="s">
        <v>101</v>
      </c>
      <c r="C725" s="79" t="s">
        <v>14</v>
      </c>
      <c r="D725" s="79" t="s">
        <v>20</v>
      </c>
      <c r="E725" s="79" t="s">
        <v>795</v>
      </c>
      <c r="F725" s="79" t="s">
        <v>9</v>
      </c>
      <c r="G725" s="316">
        <f t="shared" si="364"/>
        <v>0</v>
      </c>
      <c r="H725" s="316">
        <f t="shared" si="364"/>
        <v>401.6</v>
      </c>
      <c r="I725" s="338">
        <f t="shared" si="364"/>
        <v>0</v>
      </c>
      <c r="J725" s="338">
        <f t="shared" si="364"/>
        <v>401.6</v>
      </c>
      <c r="K725" s="408">
        <f t="shared" si="364"/>
        <v>0</v>
      </c>
      <c r="L725" s="408">
        <f t="shared" si="364"/>
        <v>0</v>
      </c>
      <c r="M725" s="322">
        <f t="shared" si="364"/>
        <v>0</v>
      </c>
      <c r="N725" s="322">
        <f t="shared" si="364"/>
        <v>0</v>
      </c>
      <c r="O725" s="312">
        <f t="shared" si="364"/>
        <v>0</v>
      </c>
      <c r="P725" s="312">
        <f t="shared" si="364"/>
        <v>0</v>
      </c>
      <c r="Q725" s="322">
        <f t="shared" si="364"/>
        <v>0</v>
      </c>
      <c r="R725" s="322">
        <f t="shared" si="364"/>
        <v>0</v>
      </c>
      <c r="S725" s="312">
        <f t="shared" si="364"/>
        <v>0</v>
      </c>
      <c r="T725" s="312">
        <f t="shared" si="364"/>
        <v>0</v>
      </c>
      <c r="U725" s="132">
        <f t="shared" si="358"/>
        <v>401.6</v>
      </c>
      <c r="V725" s="132">
        <f t="shared" si="359"/>
        <v>401.6</v>
      </c>
    </row>
    <row r="726" spans="1:40" s="77" customFormat="1" ht="63" x14ac:dyDescent="0.25">
      <c r="A726" s="74" t="s">
        <v>115</v>
      </c>
      <c r="B726" s="75" t="s">
        <v>101</v>
      </c>
      <c r="C726" s="75" t="s">
        <v>14</v>
      </c>
      <c r="D726" s="75" t="s">
        <v>20</v>
      </c>
      <c r="E726" s="75" t="s">
        <v>795</v>
      </c>
      <c r="F726" s="75" t="s">
        <v>113</v>
      </c>
      <c r="G726" s="311"/>
      <c r="H726" s="311">
        <v>401.6</v>
      </c>
      <c r="I726" s="320"/>
      <c r="J726" s="320">
        <v>401.6</v>
      </c>
      <c r="K726" s="409"/>
      <c r="L726" s="409"/>
      <c r="M726" s="323"/>
      <c r="N726" s="323"/>
      <c r="O726" s="313"/>
      <c r="P726" s="313"/>
      <c r="Q726" s="323"/>
      <c r="R726" s="323"/>
      <c r="S726" s="313"/>
      <c r="T726" s="313"/>
      <c r="U726" s="131">
        <f t="shared" si="358"/>
        <v>401.6</v>
      </c>
      <c r="V726" s="131">
        <f t="shared" si="359"/>
        <v>401.6</v>
      </c>
    </row>
    <row r="727" spans="1:40" s="77" customFormat="1" ht="15.75" customHeight="1" outlineLevel="1" x14ac:dyDescent="0.25">
      <c r="A727" s="78" t="s">
        <v>27</v>
      </c>
      <c r="B727" s="79" t="s">
        <v>101</v>
      </c>
      <c r="C727" s="79" t="s">
        <v>14</v>
      </c>
      <c r="D727" s="79" t="s">
        <v>28</v>
      </c>
      <c r="E727" s="79" t="s">
        <v>365</v>
      </c>
      <c r="F727" s="79" t="s">
        <v>9</v>
      </c>
      <c r="G727" s="316">
        <f t="shared" ref="G727:T729" si="365">G728</f>
        <v>0</v>
      </c>
      <c r="H727" s="316">
        <f t="shared" si="365"/>
        <v>0</v>
      </c>
      <c r="I727" s="338">
        <f t="shared" si="365"/>
        <v>0</v>
      </c>
      <c r="J727" s="338">
        <f t="shared" si="365"/>
        <v>0</v>
      </c>
      <c r="K727" s="408">
        <f t="shared" si="365"/>
        <v>0</v>
      </c>
      <c r="L727" s="408">
        <f t="shared" si="365"/>
        <v>0</v>
      </c>
      <c r="M727" s="322">
        <f t="shared" si="365"/>
        <v>0</v>
      </c>
      <c r="N727" s="322">
        <f t="shared" si="365"/>
        <v>0</v>
      </c>
      <c r="O727" s="312">
        <f t="shared" si="365"/>
        <v>0</v>
      </c>
      <c r="P727" s="312">
        <f t="shared" si="365"/>
        <v>0</v>
      </c>
      <c r="Q727" s="322">
        <f t="shared" si="365"/>
        <v>0</v>
      </c>
      <c r="R727" s="322">
        <f t="shared" si="365"/>
        <v>0</v>
      </c>
      <c r="S727" s="312">
        <f t="shared" si="365"/>
        <v>0</v>
      </c>
      <c r="T727" s="312">
        <f t="shared" si="365"/>
        <v>0</v>
      </c>
      <c r="U727" s="132">
        <f t="shared" si="358"/>
        <v>0</v>
      </c>
      <c r="V727" s="132">
        <f t="shared" si="359"/>
        <v>0</v>
      </c>
    </row>
    <row r="728" spans="1:40" s="80" customFormat="1" ht="15.75" customHeight="1" outlineLevel="1" x14ac:dyDescent="0.25">
      <c r="A728" s="78" t="s">
        <v>103</v>
      </c>
      <c r="B728" s="79" t="s">
        <v>101</v>
      </c>
      <c r="C728" s="79" t="s">
        <v>14</v>
      </c>
      <c r="D728" s="79" t="s">
        <v>28</v>
      </c>
      <c r="E728" s="79" t="s">
        <v>459</v>
      </c>
      <c r="F728" s="79" t="s">
        <v>9</v>
      </c>
      <c r="G728" s="316">
        <f t="shared" si="365"/>
        <v>0</v>
      </c>
      <c r="H728" s="316">
        <f t="shared" si="365"/>
        <v>0</v>
      </c>
      <c r="I728" s="338">
        <f t="shared" si="365"/>
        <v>0</v>
      </c>
      <c r="J728" s="338">
        <f t="shared" si="365"/>
        <v>0</v>
      </c>
      <c r="K728" s="408">
        <f t="shared" si="365"/>
        <v>0</v>
      </c>
      <c r="L728" s="408">
        <f t="shared" si="365"/>
        <v>0</v>
      </c>
      <c r="M728" s="322">
        <f t="shared" si="365"/>
        <v>0</v>
      </c>
      <c r="N728" s="322">
        <f t="shared" si="365"/>
        <v>0</v>
      </c>
      <c r="O728" s="312">
        <f t="shared" si="365"/>
        <v>0</v>
      </c>
      <c r="P728" s="312">
        <f t="shared" si="365"/>
        <v>0</v>
      </c>
      <c r="Q728" s="322">
        <f t="shared" si="365"/>
        <v>0</v>
      </c>
      <c r="R728" s="322">
        <f t="shared" si="365"/>
        <v>0</v>
      </c>
      <c r="S728" s="312">
        <f t="shared" si="365"/>
        <v>0</v>
      </c>
      <c r="T728" s="312">
        <f t="shared" si="365"/>
        <v>0</v>
      </c>
      <c r="U728" s="132">
        <f t="shared" si="358"/>
        <v>0</v>
      </c>
      <c r="V728" s="132">
        <f t="shared" si="359"/>
        <v>0</v>
      </c>
    </row>
    <row r="729" spans="1:40" s="80" customFormat="1" ht="15.75" customHeight="1" outlineLevel="1" x14ac:dyDescent="0.25">
      <c r="A729" s="78" t="s">
        <v>79</v>
      </c>
      <c r="B729" s="79" t="s">
        <v>101</v>
      </c>
      <c r="C729" s="79" t="s">
        <v>14</v>
      </c>
      <c r="D729" s="79" t="s">
        <v>28</v>
      </c>
      <c r="E729" s="79" t="s">
        <v>460</v>
      </c>
      <c r="F729" s="79" t="s">
        <v>9</v>
      </c>
      <c r="G729" s="316">
        <f t="shared" si="365"/>
        <v>0</v>
      </c>
      <c r="H729" s="316">
        <f t="shared" si="365"/>
        <v>0</v>
      </c>
      <c r="I729" s="338">
        <f t="shared" si="365"/>
        <v>0</v>
      </c>
      <c r="J729" s="338">
        <f t="shared" si="365"/>
        <v>0</v>
      </c>
      <c r="K729" s="408">
        <f t="shared" si="365"/>
        <v>0</v>
      </c>
      <c r="L729" s="408">
        <f t="shared" si="365"/>
        <v>0</v>
      </c>
      <c r="M729" s="322">
        <f t="shared" si="365"/>
        <v>0</v>
      </c>
      <c r="N729" s="322">
        <f t="shared" si="365"/>
        <v>0</v>
      </c>
      <c r="O729" s="312">
        <f t="shared" si="365"/>
        <v>0</v>
      </c>
      <c r="P729" s="312">
        <f t="shared" si="365"/>
        <v>0</v>
      </c>
      <c r="Q729" s="322">
        <f t="shared" si="365"/>
        <v>0</v>
      </c>
      <c r="R729" s="322">
        <f t="shared" si="365"/>
        <v>0</v>
      </c>
      <c r="S729" s="312">
        <f t="shared" si="365"/>
        <v>0</v>
      </c>
      <c r="T729" s="312">
        <f t="shared" si="365"/>
        <v>0</v>
      </c>
      <c r="U729" s="132">
        <f t="shared" si="358"/>
        <v>0</v>
      </c>
      <c r="V729" s="132">
        <f t="shared" si="359"/>
        <v>0</v>
      </c>
    </row>
    <row r="730" spans="1:40" s="80" customFormat="1" ht="31.5" customHeight="1" outlineLevel="1" x14ac:dyDescent="0.25">
      <c r="A730" s="74" t="s">
        <v>124</v>
      </c>
      <c r="B730" s="75" t="s">
        <v>101</v>
      </c>
      <c r="C730" s="75" t="s">
        <v>14</v>
      </c>
      <c r="D730" s="75" t="s">
        <v>28</v>
      </c>
      <c r="E730" s="75" t="s">
        <v>460</v>
      </c>
      <c r="F730" s="75" t="s">
        <v>117</v>
      </c>
      <c r="G730" s="311"/>
      <c r="H730" s="311"/>
      <c r="I730" s="320"/>
      <c r="J730" s="320"/>
      <c r="K730" s="409"/>
      <c r="L730" s="409"/>
      <c r="M730" s="323"/>
      <c r="N730" s="323"/>
      <c r="O730" s="313"/>
      <c r="P730" s="313"/>
      <c r="Q730" s="323"/>
      <c r="R730" s="323"/>
      <c r="S730" s="313"/>
      <c r="T730" s="313"/>
      <c r="U730" s="131">
        <f t="shared" si="358"/>
        <v>0</v>
      </c>
      <c r="V730" s="131">
        <f t="shared" si="359"/>
        <v>0</v>
      </c>
    </row>
    <row r="731" spans="1:40" s="77" customFormat="1" ht="47.25" collapsed="1" x14ac:dyDescent="0.25">
      <c r="A731" s="74" t="s">
        <v>106</v>
      </c>
      <c r="B731" s="75" t="s">
        <v>107</v>
      </c>
      <c r="C731" s="75" t="s">
        <v>10</v>
      </c>
      <c r="D731" s="75" t="s">
        <v>10</v>
      </c>
      <c r="E731" s="75" t="s">
        <v>365</v>
      </c>
      <c r="F731" s="75" t="s">
        <v>9</v>
      </c>
      <c r="G731" s="311">
        <f t="shared" ref="G731:T731" si="366">G732</f>
        <v>0</v>
      </c>
      <c r="H731" s="311">
        <f t="shared" si="366"/>
        <v>1396.3</v>
      </c>
      <c r="I731" s="320">
        <f t="shared" si="366"/>
        <v>0</v>
      </c>
      <c r="J731" s="320">
        <f t="shared" si="366"/>
        <v>1396.3</v>
      </c>
      <c r="K731" s="407">
        <f t="shared" si="366"/>
        <v>0</v>
      </c>
      <c r="L731" s="407">
        <f t="shared" si="366"/>
        <v>0</v>
      </c>
      <c r="M731" s="321">
        <f t="shared" si="366"/>
        <v>0</v>
      </c>
      <c r="N731" s="321">
        <f t="shared" si="366"/>
        <v>0</v>
      </c>
      <c r="O731" s="310">
        <f t="shared" si="366"/>
        <v>0</v>
      </c>
      <c r="P731" s="310">
        <f t="shared" si="366"/>
        <v>0</v>
      </c>
      <c r="Q731" s="321">
        <f t="shared" si="366"/>
        <v>0</v>
      </c>
      <c r="R731" s="321">
        <f t="shared" si="366"/>
        <v>0</v>
      </c>
      <c r="S731" s="310">
        <f t="shared" si="366"/>
        <v>0</v>
      </c>
      <c r="T731" s="310">
        <f t="shared" si="366"/>
        <v>0</v>
      </c>
      <c r="U731" s="131">
        <f t="shared" si="358"/>
        <v>1396.3</v>
      </c>
      <c r="V731" s="131">
        <f t="shared" si="359"/>
        <v>1396.3</v>
      </c>
    </row>
    <row r="732" spans="1:40" s="77" customFormat="1" x14ac:dyDescent="0.25">
      <c r="A732" s="74" t="s">
        <v>23</v>
      </c>
      <c r="B732" s="75" t="s">
        <v>107</v>
      </c>
      <c r="C732" s="75" t="s">
        <v>14</v>
      </c>
      <c r="D732" s="75" t="s">
        <v>10</v>
      </c>
      <c r="E732" s="75" t="s">
        <v>365</v>
      </c>
      <c r="F732" s="75" t="s">
        <v>9</v>
      </c>
      <c r="G732" s="311">
        <f t="shared" ref="G732:O732" si="367">G733+G741</f>
        <v>0</v>
      </c>
      <c r="H732" s="311">
        <f>H733+H741</f>
        <v>1396.3</v>
      </c>
      <c r="I732" s="320">
        <f t="shared" si="367"/>
        <v>0</v>
      </c>
      <c r="J732" s="320">
        <f>J733+J741</f>
        <v>1396.3</v>
      </c>
      <c r="K732" s="407">
        <f t="shared" si="367"/>
        <v>0</v>
      </c>
      <c r="L732" s="407">
        <f t="shared" si="367"/>
        <v>0</v>
      </c>
      <c r="M732" s="321">
        <f t="shared" si="367"/>
        <v>0</v>
      </c>
      <c r="N732" s="321">
        <f t="shared" si="367"/>
        <v>0</v>
      </c>
      <c r="O732" s="310">
        <f t="shared" si="367"/>
        <v>0</v>
      </c>
      <c r="P732" s="310">
        <f>P733+P741</f>
        <v>0</v>
      </c>
      <c r="Q732" s="321">
        <f>Q733+Q741</f>
        <v>0</v>
      </c>
      <c r="R732" s="321">
        <f>R733+R741</f>
        <v>0</v>
      </c>
      <c r="S732" s="310">
        <f>S733+S741</f>
        <v>0</v>
      </c>
      <c r="T732" s="310">
        <f>T733+T741</f>
        <v>0</v>
      </c>
      <c r="U732" s="131">
        <f t="shared" si="358"/>
        <v>1396.3</v>
      </c>
      <c r="V732" s="131">
        <f t="shared" si="359"/>
        <v>1396.3</v>
      </c>
    </row>
    <row r="733" spans="1:40" ht="31.5" x14ac:dyDescent="0.25">
      <c r="A733" s="78" t="s">
        <v>108</v>
      </c>
      <c r="B733" s="79" t="s">
        <v>107</v>
      </c>
      <c r="C733" s="79" t="s">
        <v>14</v>
      </c>
      <c r="D733" s="79" t="s">
        <v>90</v>
      </c>
      <c r="E733" s="79" t="s">
        <v>365</v>
      </c>
      <c r="F733" s="79" t="s">
        <v>9</v>
      </c>
      <c r="G733" s="316">
        <f t="shared" ref="G733:T734" si="368">G734</f>
        <v>0</v>
      </c>
      <c r="H733" s="316">
        <f t="shared" si="368"/>
        <v>1391.3</v>
      </c>
      <c r="I733" s="338">
        <f t="shared" si="368"/>
        <v>0</v>
      </c>
      <c r="J733" s="338">
        <f t="shared" si="368"/>
        <v>1391.3</v>
      </c>
      <c r="K733" s="408">
        <f t="shared" si="368"/>
        <v>0</v>
      </c>
      <c r="L733" s="408">
        <f t="shared" si="368"/>
        <v>0</v>
      </c>
      <c r="M733" s="322">
        <f t="shared" si="368"/>
        <v>0</v>
      </c>
      <c r="N733" s="322">
        <f t="shared" si="368"/>
        <v>0</v>
      </c>
      <c r="O733" s="312">
        <f t="shared" si="368"/>
        <v>0</v>
      </c>
      <c r="P733" s="312">
        <f t="shared" si="368"/>
        <v>0</v>
      </c>
      <c r="Q733" s="322">
        <f t="shared" si="368"/>
        <v>0</v>
      </c>
      <c r="R733" s="322">
        <f t="shared" si="368"/>
        <v>0</v>
      </c>
      <c r="S733" s="312">
        <f t="shared" si="368"/>
        <v>0</v>
      </c>
      <c r="T733" s="312">
        <f t="shared" si="368"/>
        <v>0</v>
      </c>
      <c r="U733" s="132">
        <f t="shared" si="358"/>
        <v>1391.3</v>
      </c>
      <c r="V733" s="132">
        <f t="shared" si="359"/>
        <v>1391.3</v>
      </c>
      <c r="W733" s="8"/>
      <c r="AN733" s="8"/>
    </row>
    <row r="734" spans="1:40" x14ac:dyDescent="0.25">
      <c r="A734" s="78" t="s">
        <v>103</v>
      </c>
      <c r="B734" s="79" t="s">
        <v>107</v>
      </c>
      <c r="C734" s="79" t="s">
        <v>14</v>
      </c>
      <c r="D734" s="79" t="s">
        <v>90</v>
      </c>
      <c r="E734" s="79" t="s">
        <v>459</v>
      </c>
      <c r="F734" s="79" t="s">
        <v>9</v>
      </c>
      <c r="G734" s="316">
        <f t="shared" si="368"/>
        <v>0</v>
      </c>
      <c r="H734" s="316">
        <f t="shared" si="368"/>
        <v>1391.3</v>
      </c>
      <c r="I734" s="338">
        <f t="shared" si="368"/>
        <v>0</v>
      </c>
      <c r="J734" s="338">
        <f t="shared" si="368"/>
        <v>1391.3</v>
      </c>
      <c r="K734" s="408">
        <f t="shared" si="368"/>
        <v>0</v>
      </c>
      <c r="L734" s="408">
        <f t="shared" si="368"/>
        <v>0</v>
      </c>
      <c r="M734" s="322">
        <f t="shared" si="368"/>
        <v>0</v>
      </c>
      <c r="N734" s="322">
        <f t="shared" si="368"/>
        <v>0</v>
      </c>
      <c r="O734" s="312">
        <f t="shared" si="368"/>
        <v>0</v>
      </c>
      <c r="P734" s="312">
        <f t="shared" si="368"/>
        <v>0</v>
      </c>
      <c r="Q734" s="322">
        <f t="shared" si="368"/>
        <v>0</v>
      </c>
      <c r="R734" s="322">
        <f t="shared" si="368"/>
        <v>0</v>
      </c>
      <c r="S734" s="312">
        <f t="shared" si="368"/>
        <v>0</v>
      </c>
      <c r="T734" s="312">
        <f t="shared" si="368"/>
        <v>0</v>
      </c>
      <c r="U734" s="132">
        <f t="shared" si="358"/>
        <v>1391.3</v>
      </c>
      <c r="V734" s="132">
        <f t="shared" si="359"/>
        <v>1391.3</v>
      </c>
      <c r="W734" s="8"/>
      <c r="AN734" s="8"/>
    </row>
    <row r="735" spans="1:40" ht="31.5" x14ac:dyDescent="0.25">
      <c r="A735" s="78" t="s">
        <v>796</v>
      </c>
      <c r="B735" s="79" t="s">
        <v>107</v>
      </c>
      <c r="C735" s="79" t="s">
        <v>14</v>
      </c>
      <c r="D735" s="79" t="s">
        <v>90</v>
      </c>
      <c r="E735" s="79" t="s">
        <v>791</v>
      </c>
      <c r="F735" s="79" t="s">
        <v>9</v>
      </c>
      <c r="G735" s="316">
        <f t="shared" ref="G735:O735" si="369">G736+G738</f>
        <v>0</v>
      </c>
      <c r="H735" s="316">
        <f>H736+H738</f>
        <v>1391.3</v>
      </c>
      <c r="I735" s="338">
        <f t="shared" si="369"/>
        <v>0</v>
      </c>
      <c r="J735" s="338">
        <f>J736+J738</f>
        <v>1391.3</v>
      </c>
      <c r="K735" s="408">
        <f t="shared" si="369"/>
        <v>0</v>
      </c>
      <c r="L735" s="408">
        <f t="shared" si="369"/>
        <v>0</v>
      </c>
      <c r="M735" s="322">
        <f t="shared" si="369"/>
        <v>0</v>
      </c>
      <c r="N735" s="322">
        <f t="shared" si="369"/>
        <v>0</v>
      </c>
      <c r="O735" s="312">
        <f t="shared" si="369"/>
        <v>0</v>
      </c>
      <c r="P735" s="312">
        <f>P736+P738</f>
        <v>0</v>
      </c>
      <c r="Q735" s="322">
        <f>Q736+Q738</f>
        <v>0</v>
      </c>
      <c r="R735" s="322">
        <f>R736+R738</f>
        <v>0</v>
      </c>
      <c r="S735" s="312">
        <f>S736+S738</f>
        <v>0</v>
      </c>
      <c r="T735" s="312">
        <f>T736+T738</f>
        <v>0</v>
      </c>
      <c r="U735" s="132">
        <f t="shared" si="358"/>
        <v>1391.3</v>
      </c>
      <c r="V735" s="132">
        <f t="shared" si="359"/>
        <v>1391.3</v>
      </c>
      <c r="W735" s="8"/>
      <c r="AN735" s="8"/>
    </row>
    <row r="736" spans="1:40" ht="31.5" x14ac:dyDescent="0.25">
      <c r="A736" s="78" t="s">
        <v>109</v>
      </c>
      <c r="B736" s="79" t="s">
        <v>107</v>
      </c>
      <c r="C736" s="79" t="s">
        <v>14</v>
      </c>
      <c r="D736" s="79" t="s">
        <v>90</v>
      </c>
      <c r="E736" s="79" t="s">
        <v>792</v>
      </c>
      <c r="F736" s="79" t="s">
        <v>9</v>
      </c>
      <c r="G736" s="316">
        <f t="shared" ref="G736:T736" si="370">G737</f>
        <v>0</v>
      </c>
      <c r="H736" s="316">
        <f t="shared" si="370"/>
        <v>922.3</v>
      </c>
      <c r="I736" s="338">
        <f t="shared" si="370"/>
        <v>0</v>
      </c>
      <c r="J736" s="338">
        <f t="shared" si="370"/>
        <v>922.3</v>
      </c>
      <c r="K736" s="408">
        <f t="shared" si="370"/>
        <v>0</v>
      </c>
      <c r="L736" s="408">
        <f t="shared" si="370"/>
        <v>0</v>
      </c>
      <c r="M736" s="322">
        <f t="shared" si="370"/>
        <v>0</v>
      </c>
      <c r="N736" s="322">
        <f t="shared" si="370"/>
        <v>0</v>
      </c>
      <c r="O736" s="312">
        <f t="shared" si="370"/>
        <v>0</v>
      </c>
      <c r="P736" s="312">
        <f t="shared" si="370"/>
        <v>0</v>
      </c>
      <c r="Q736" s="322">
        <f t="shared" si="370"/>
        <v>0</v>
      </c>
      <c r="R736" s="322">
        <f t="shared" si="370"/>
        <v>0</v>
      </c>
      <c r="S736" s="312">
        <f t="shared" si="370"/>
        <v>0</v>
      </c>
      <c r="T736" s="312">
        <f t="shared" si="370"/>
        <v>0</v>
      </c>
      <c r="U736" s="132">
        <f t="shared" si="358"/>
        <v>922.3</v>
      </c>
      <c r="V736" s="132">
        <f t="shared" si="359"/>
        <v>922.3</v>
      </c>
      <c r="W736" s="8"/>
      <c r="AN736" s="8"/>
    </row>
    <row r="737" spans="1:40" ht="63" x14ac:dyDescent="0.25">
      <c r="A737" s="74" t="s">
        <v>115</v>
      </c>
      <c r="B737" s="75" t="s">
        <v>107</v>
      </c>
      <c r="C737" s="75" t="s">
        <v>14</v>
      </c>
      <c r="D737" s="75" t="s">
        <v>90</v>
      </c>
      <c r="E737" s="75" t="s">
        <v>792</v>
      </c>
      <c r="F737" s="75" t="s">
        <v>113</v>
      </c>
      <c r="G737" s="311"/>
      <c r="H737" s="311">
        <f>913.5+8.8</f>
        <v>922.3</v>
      </c>
      <c r="I737" s="320"/>
      <c r="J737" s="320">
        <f>913.5+8.8</f>
        <v>922.3</v>
      </c>
      <c r="K737" s="409"/>
      <c r="L737" s="409"/>
      <c r="M737" s="323"/>
      <c r="N737" s="323"/>
      <c r="O737" s="313"/>
      <c r="P737" s="313"/>
      <c r="Q737" s="323"/>
      <c r="R737" s="323"/>
      <c r="S737" s="313"/>
      <c r="T737" s="313"/>
      <c r="U737" s="131">
        <f t="shared" si="358"/>
        <v>922.3</v>
      </c>
      <c r="V737" s="131">
        <f t="shared" si="359"/>
        <v>922.3</v>
      </c>
      <c r="W737" s="8"/>
      <c r="AN737" s="8"/>
    </row>
    <row r="738" spans="1:40" x14ac:dyDescent="0.25">
      <c r="A738" s="78" t="s">
        <v>26</v>
      </c>
      <c r="B738" s="79" t="s">
        <v>107</v>
      </c>
      <c r="C738" s="79" t="s">
        <v>14</v>
      </c>
      <c r="D738" s="79" t="s">
        <v>90</v>
      </c>
      <c r="E738" s="79" t="s">
        <v>793</v>
      </c>
      <c r="F738" s="79" t="s">
        <v>9</v>
      </c>
      <c r="G738" s="316">
        <f t="shared" ref="G738:T738" si="371">G739+G740</f>
        <v>0</v>
      </c>
      <c r="H738" s="316">
        <f t="shared" si="371"/>
        <v>469</v>
      </c>
      <c r="I738" s="338">
        <f t="shared" si="371"/>
        <v>0</v>
      </c>
      <c r="J738" s="338">
        <f t="shared" si="371"/>
        <v>469</v>
      </c>
      <c r="K738" s="408">
        <f t="shared" si="371"/>
        <v>0</v>
      </c>
      <c r="L738" s="408">
        <f t="shared" si="371"/>
        <v>0</v>
      </c>
      <c r="M738" s="322">
        <f t="shared" si="371"/>
        <v>0</v>
      </c>
      <c r="N738" s="322">
        <f t="shared" si="371"/>
        <v>0</v>
      </c>
      <c r="O738" s="312">
        <f t="shared" si="371"/>
        <v>0</v>
      </c>
      <c r="P738" s="312">
        <f t="shared" si="371"/>
        <v>0</v>
      </c>
      <c r="Q738" s="322">
        <f t="shared" si="371"/>
        <v>0</v>
      </c>
      <c r="R738" s="322">
        <f t="shared" si="371"/>
        <v>0</v>
      </c>
      <c r="S738" s="312">
        <f t="shared" si="371"/>
        <v>0</v>
      </c>
      <c r="T738" s="312">
        <f t="shared" si="371"/>
        <v>0</v>
      </c>
      <c r="U738" s="132">
        <f t="shared" si="358"/>
        <v>469</v>
      </c>
      <c r="V738" s="132">
        <f t="shared" si="359"/>
        <v>469</v>
      </c>
      <c r="W738" s="8"/>
      <c r="AN738" s="8"/>
    </row>
    <row r="739" spans="1:40" ht="63" x14ac:dyDescent="0.25">
      <c r="A739" s="74" t="s">
        <v>115</v>
      </c>
      <c r="B739" s="75" t="s">
        <v>107</v>
      </c>
      <c r="C739" s="75" t="s">
        <v>14</v>
      </c>
      <c r="D739" s="75" t="s">
        <v>90</v>
      </c>
      <c r="E739" s="75" t="s">
        <v>793</v>
      </c>
      <c r="F739" s="75" t="s">
        <v>113</v>
      </c>
      <c r="G739" s="311"/>
      <c r="H739" s="311">
        <f>466+3</f>
        <v>469</v>
      </c>
      <c r="I739" s="320"/>
      <c r="J739" s="320">
        <f>466+3</f>
        <v>469</v>
      </c>
      <c r="K739" s="409"/>
      <c r="L739" s="409"/>
      <c r="M739" s="323"/>
      <c r="N739" s="323"/>
      <c r="O739" s="313"/>
      <c r="P739" s="313"/>
      <c r="Q739" s="323"/>
      <c r="R739" s="323"/>
      <c r="S739" s="313"/>
      <c r="T739" s="313"/>
      <c r="U739" s="131">
        <f t="shared" si="358"/>
        <v>469</v>
      </c>
      <c r="V739" s="131">
        <f t="shared" si="359"/>
        <v>469</v>
      </c>
      <c r="W739" s="8"/>
      <c r="AN739" s="8"/>
    </row>
    <row r="740" spans="1:40" ht="31.5" customHeight="1" outlineLevel="1" x14ac:dyDescent="0.25">
      <c r="A740" s="74" t="s">
        <v>124</v>
      </c>
      <c r="B740" s="75" t="s">
        <v>107</v>
      </c>
      <c r="C740" s="75" t="s">
        <v>14</v>
      </c>
      <c r="D740" s="75" t="s">
        <v>90</v>
      </c>
      <c r="E740" s="75" t="s">
        <v>793</v>
      </c>
      <c r="F740" s="75" t="s">
        <v>117</v>
      </c>
      <c r="G740" s="311"/>
      <c r="H740" s="311"/>
      <c r="I740" s="320"/>
      <c r="J740" s="320"/>
      <c r="K740" s="409"/>
      <c r="L740" s="409"/>
      <c r="M740" s="323"/>
      <c r="N740" s="323"/>
      <c r="O740" s="313"/>
      <c r="P740" s="313"/>
      <c r="Q740" s="323"/>
      <c r="R740" s="323"/>
      <c r="S740" s="313"/>
      <c r="T740" s="313"/>
      <c r="U740" s="131">
        <f t="shared" si="358"/>
        <v>0</v>
      </c>
      <c r="V740" s="131">
        <f t="shared" si="359"/>
        <v>0</v>
      </c>
      <c r="W740" s="8"/>
      <c r="AK740" s="58"/>
      <c r="AN740" s="8"/>
    </row>
    <row r="741" spans="1:40" x14ac:dyDescent="0.25">
      <c r="A741" s="78" t="s">
        <v>27</v>
      </c>
      <c r="B741" s="79" t="s">
        <v>107</v>
      </c>
      <c r="C741" s="79" t="s">
        <v>14</v>
      </c>
      <c r="D741" s="79" t="s">
        <v>28</v>
      </c>
      <c r="E741" s="79" t="s">
        <v>365</v>
      </c>
      <c r="F741" s="79" t="s">
        <v>9</v>
      </c>
      <c r="G741" s="316">
        <f t="shared" ref="G741:T744" si="372">G742</f>
        <v>0</v>
      </c>
      <c r="H741" s="316">
        <f t="shared" si="372"/>
        <v>5</v>
      </c>
      <c r="I741" s="338">
        <f t="shared" si="372"/>
        <v>0</v>
      </c>
      <c r="J741" s="338">
        <f t="shared" si="372"/>
        <v>5</v>
      </c>
      <c r="K741" s="408">
        <f t="shared" si="372"/>
        <v>0</v>
      </c>
      <c r="L741" s="408">
        <f t="shared" si="372"/>
        <v>0</v>
      </c>
      <c r="M741" s="322">
        <f t="shared" si="372"/>
        <v>0</v>
      </c>
      <c r="N741" s="322">
        <f t="shared" si="372"/>
        <v>0</v>
      </c>
      <c r="O741" s="312">
        <f t="shared" si="372"/>
        <v>0</v>
      </c>
      <c r="P741" s="312">
        <f t="shared" si="372"/>
        <v>0</v>
      </c>
      <c r="Q741" s="322">
        <f t="shared" si="372"/>
        <v>0</v>
      </c>
      <c r="R741" s="322">
        <f t="shared" si="372"/>
        <v>0</v>
      </c>
      <c r="S741" s="312">
        <f t="shared" si="372"/>
        <v>0</v>
      </c>
      <c r="T741" s="312">
        <f t="shared" si="372"/>
        <v>0</v>
      </c>
      <c r="U741" s="132">
        <f t="shared" si="358"/>
        <v>5</v>
      </c>
      <c r="V741" s="132">
        <f t="shared" si="359"/>
        <v>5</v>
      </c>
      <c r="W741" s="8"/>
      <c r="AK741" s="58"/>
      <c r="AN741" s="8"/>
    </row>
    <row r="742" spans="1:40" x14ac:dyDescent="0.25">
      <c r="A742" s="78" t="s">
        <v>103</v>
      </c>
      <c r="B742" s="79" t="s">
        <v>107</v>
      </c>
      <c r="C742" s="79" t="s">
        <v>14</v>
      </c>
      <c r="D742" s="79" t="s">
        <v>28</v>
      </c>
      <c r="E742" s="79" t="s">
        <v>459</v>
      </c>
      <c r="F742" s="79" t="s">
        <v>9</v>
      </c>
      <c r="G742" s="316">
        <f t="shared" si="372"/>
        <v>0</v>
      </c>
      <c r="H742" s="316">
        <f t="shared" si="372"/>
        <v>5</v>
      </c>
      <c r="I742" s="338">
        <f t="shared" si="372"/>
        <v>0</v>
      </c>
      <c r="J742" s="338">
        <f t="shared" si="372"/>
        <v>5</v>
      </c>
      <c r="K742" s="408">
        <f t="shared" si="372"/>
        <v>0</v>
      </c>
      <c r="L742" s="408">
        <f t="shared" si="372"/>
        <v>0</v>
      </c>
      <c r="M742" s="322">
        <f t="shared" si="372"/>
        <v>0</v>
      </c>
      <c r="N742" s="322">
        <f t="shared" si="372"/>
        <v>0</v>
      </c>
      <c r="O742" s="312">
        <f t="shared" si="372"/>
        <v>0</v>
      </c>
      <c r="P742" s="312">
        <f t="shared" si="372"/>
        <v>0</v>
      </c>
      <c r="Q742" s="322">
        <f t="shared" si="372"/>
        <v>0</v>
      </c>
      <c r="R742" s="322">
        <f t="shared" si="372"/>
        <v>0</v>
      </c>
      <c r="S742" s="312">
        <f t="shared" si="372"/>
        <v>0</v>
      </c>
      <c r="T742" s="312">
        <f t="shared" si="372"/>
        <v>0</v>
      </c>
      <c r="U742" s="132">
        <f t="shared" si="358"/>
        <v>5</v>
      </c>
      <c r="V742" s="132">
        <f t="shared" si="359"/>
        <v>5</v>
      </c>
      <c r="W742" s="8"/>
      <c r="AK742" s="58"/>
      <c r="AN742" s="8"/>
    </row>
    <row r="743" spans="1:40" ht="31.5" x14ac:dyDescent="0.25">
      <c r="A743" s="78" t="s">
        <v>796</v>
      </c>
      <c r="B743" s="79" t="s">
        <v>107</v>
      </c>
      <c r="C743" s="79" t="s">
        <v>14</v>
      </c>
      <c r="D743" s="79" t="s">
        <v>28</v>
      </c>
      <c r="E743" s="79" t="s">
        <v>791</v>
      </c>
      <c r="F743" s="79" t="s">
        <v>9</v>
      </c>
      <c r="G743" s="316">
        <f t="shared" si="372"/>
        <v>0</v>
      </c>
      <c r="H743" s="316">
        <f t="shared" si="372"/>
        <v>5</v>
      </c>
      <c r="I743" s="338">
        <f t="shared" si="372"/>
        <v>0</v>
      </c>
      <c r="J743" s="338">
        <f t="shared" si="372"/>
        <v>5</v>
      </c>
      <c r="K743" s="408">
        <f t="shared" si="372"/>
        <v>0</v>
      </c>
      <c r="L743" s="408">
        <f t="shared" si="372"/>
        <v>0</v>
      </c>
      <c r="M743" s="322">
        <f t="shared" si="372"/>
        <v>0</v>
      </c>
      <c r="N743" s="322">
        <f t="shared" si="372"/>
        <v>0</v>
      </c>
      <c r="O743" s="312">
        <f t="shared" si="372"/>
        <v>0</v>
      </c>
      <c r="P743" s="312">
        <f t="shared" si="372"/>
        <v>0</v>
      </c>
      <c r="Q743" s="322">
        <f t="shared" si="372"/>
        <v>0</v>
      </c>
      <c r="R743" s="322">
        <f t="shared" si="372"/>
        <v>0</v>
      </c>
      <c r="S743" s="312">
        <f t="shared" si="372"/>
        <v>0</v>
      </c>
      <c r="T743" s="312">
        <f t="shared" si="372"/>
        <v>0</v>
      </c>
      <c r="U743" s="132">
        <f t="shared" si="358"/>
        <v>5</v>
      </c>
      <c r="V743" s="132">
        <f t="shared" si="359"/>
        <v>5</v>
      </c>
      <c r="W743" s="70"/>
      <c r="AK743" s="58"/>
      <c r="AN743" s="8"/>
    </row>
    <row r="744" spans="1:40" x14ac:dyDescent="0.25">
      <c r="A744" s="78" t="s">
        <v>79</v>
      </c>
      <c r="B744" s="79" t="s">
        <v>107</v>
      </c>
      <c r="C744" s="79" t="s">
        <v>14</v>
      </c>
      <c r="D744" s="79" t="s">
        <v>28</v>
      </c>
      <c r="E744" s="79" t="s">
        <v>794</v>
      </c>
      <c r="F744" s="79" t="s">
        <v>9</v>
      </c>
      <c r="G744" s="316">
        <f t="shared" si="372"/>
        <v>0</v>
      </c>
      <c r="H744" s="316">
        <f t="shared" si="372"/>
        <v>5</v>
      </c>
      <c r="I744" s="338">
        <f t="shared" si="372"/>
        <v>0</v>
      </c>
      <c r="J744" s="338">
        <f t="shared" si="372"/>
        <v>5</v>
      </c>
      <c r="K744" s="408">
        <f t="shared" si="372"/>
        <v>0</v>
      </c>
      <c r="L744" s="408">
        <f t="shared" si="372"/>
        <v>0</v>
      </c>
      <c r="M744" s="322">
        <f t="shared" si="372"/>
        <v>0</v>
      </c>
      <c r="N744" s="322">
        <f t="shared" si="372"/>
        <v>0</v>
      </c>
      <c r="O744" s="312">
        <f t="shared" si="372"/>
        <v>0</v>
      </c>
      <c r="P744" s="312">
        <f>P745</f>
        <v>0</v>
      </c>
      <c r="Q744" s="322">
        <f t="shared" si="372"/>
        <v>0</v>
      </c>
      <c r="R744" s="322">
        <f t="shared" si="372"/>
        <v>0</v>
      </c>
      <c r="S744" s="312">
        <f t="shared" si="372"/>
        <v>0</v>
      </c>
      <c r="T744" s="312">
        <f t="shared" si="372"/>
        <v>0</v>
      </c>
      <c r="U744" s="132">
        <f t="shared" si="358"/>
        <v>5</v>
      </c>
      <c r="V744" s="132">
        <f t="shared" si="359"/>
        <v>5</v>
      </c>
    </row>
    <row r="745" spans="1:40" x14ac:dyDescent="0.25">
      <c r="A745" s="81" t="s">
        <v>116</v>
      </c>
      <c r="B745" s="75" t="s">
        <v>107</v>
      </c>
      <c r="C745" s="75" t="s">
        <v>14</v>
      </c>
      <c r="D745" s="75" t="s">
        <v>28</v>
      </c>
      <c r="E745" s="75" t="s">
        <v>794</v>
      </c>
      <c r="F745" s="75" t="s">
        <v>114</v>
      </c>
      <c r="G745" s="311"/>
      <c r="H745" s="311">
        <v>5</v>
      </c>
      <c r="I745" s="320"/>
      <c r="J745" s="320">
        <v>5</v>
      </c>
      <c r="K745" s="409"/>
      <c r="L745" s="409"/>
      <c r="M745" s="323"/>
      <c r="N745" s="323"/>
      <c r="O745" s="313"/>
      <c r="P745" s="313"/>
      <c r="Q745" s="323"/>
      <c r="R745" s="323"/>
      <c r="S745" s="313"/>
      <c r="T745" s="313"/>
      <c r="U745" s="131">
        <f t="shared" si="358"/>
        <v>5</v>
      </c>
      <c r="V745" s="131">
        <f t="shared" si="359"/>
        <v>5</v>
      </c>
    </row>
    <row r="748" spans="1:40" x14ac:dyDescent="0.25">
      <c r="C748" s="716"/>
      <c r="D748" s="716"/>
      <c r="E748" s="716"/>
      <c r="F748" s="716"/>
      <c r="G748" s="748"/>
      <c r="H748" s="749"/>
      <c r="I748" s="748"/>
      <c r="J748" s="749"/>
      <c r="K748" s="749"/>
      <c r="L748" s="750"/>
      <c r="M748" s="749"/>
      <c r="N748" s="717"/>
      <c r="O748" s="748"/>
      <c r="P748" s="716"/>
      <c r="Q748" s="716"/>
      <c r="R748" s="716"/>
      <c r="S748" s="716"/>
      <c r="T748" s="716"/>
      <c r="U748" s="717"/>
    </row>
    <row r="749" spans="1:40" ht="15.75" hidden="1" customHeight="1" x14ac:dyDescent="0.3">
      <c r="B749" s="751" t="s">
        <v>76</v>
      </c>
      <c r="C749" s="754"/>
      <c r="D749" s="755"/>
      <c r="E749" s="756"/>
      <c r="F749" s="143" t="s">
        <v>841</v>
      </c>
      <c r="G749" s="344"/>
      <c r="H749" s="344"/>
      <c r="I749" s="345"/>
      <c r="J749" s="345"/>
      <c r="K749" s="411"/>
      <c r="L749" s="411"/>
      <c r="M749" s="331"/>
      <c r="N749" s="331"/>
      <c r="O749" s="317"/>
      <c r="P749" s="317"/>
      <c r="Q749" s="331"/>
      <c r="R749" s="331"/>
      <c r="S749" s="317"/>
      <c r="T749" s="317"/>
      <c r="U749" s="269">
        <f>U651+U650+U382+U331+U330+U448+U446+U444+U442+U341+U340+U660+U659+U663+U677+U440+U344+U343+U360+U412</f>
        <v>20079</v>
      </c>
      <c r="V749" s="269">
        <f>V651+V650+V382+V331+V330+V448+V446+V444+V442+V341+V340+V660+V659+V663+V677+V440+V344+V343+V360+V412</f>
        <v>17697.8</v>
      </c>
    </row>
    <row r="750" spans="1:40" ht="15.75" hidden="1" customHeight="1" x14ac:dyDescent="0.3">
      <c r="B750" s="752"/>
      <c r="C750" s="757"/>
      <c r="D750" s="758"/>
      <c r="E750" s="759"/>
      <c r="F750" s="143" t="s">
        <v>842</v>
      </c>
      <c r="G750" s="344"/>
      <c r="H750" s="344"/>
      <c r="I750" s="345"/>
      <c r="J750" s="345"/>
      <c r="K750" s="411"/>
      <c r="L750" s="411"/>
      <c r="M750" s="331"/>
      <c r="N750" s="331"/>
      <c r="O750" s="317"/>
      <c r="P750" s="317"/>
      <c r="Q750" s="331"/>
      <c r="R750" s="331"/>
      <c r="S750" s="317"/>
      <c r="T750" s="317"/>
      <c r="U750" s="269">
        <f>U597+U484+U488+U685-377</f>
        <v>21835.4575</v>
      </c>
      <c r="V750" s="269">
        <f>V597+V484+V488+V685-377</f>
        <v>20911.744999999999</v>
      </c>
    </row>
    <row r="751" spans="1:40" ht="15.75" hidden="1" customHeight="1" x14ac:dyDescent="0.3">
      <c r="B751" s="752"/>
      <c r="C751" s="757"/>
      <c r="D751" s="758"/>
      <c r="E751" s="759"/>
      <c r="F751" s="143" t="s">
        <v>850</v>
      </c>
      <c r="G751" s="344"/>
      <c r="H751" s="344"/>
      <c r="I751" s="345"/>
      <c r="J751" s="345"/>
      <c r="K751" s="411"/>
      <c r="L751" s="411"/>
      <c r="M751" s="331"/>
      <c r="N751" s="331"/>
      <c r="O751" s="317"/>
      <c r="P751" s="317"/>
      <c r="Q751" s="331"/>
      <c r="R751" s="331"/>
      <c r="S751" s="317"/>
      <c r="T751" s="317"/>
      <c r="U751" s="269">
        <f>U488</f>
        <v>0</v>
      </c>
      <c r="V751" s="269">
        <f>V488</f>
        <v>0</v>
      </c>
    </row>
    <row r="752" spans="1:40" ht="47.25" hidden="1" customHeight="1" x14ac:dyDescent="0.3">
      <c r="B752" s="753"/>
      <c r="C752" s="760"/>
      <c r="D752" s="761"/>
      <c r="E752" s="762"/>
      <c r="F752" s="199" t="s">
        <v>849</v>
      </c>
      <c r="G752" s="346"/>
      <c r="H752" s="346"/>
      <c r="I752" s="347"/>
      <c r="J752" s="347"/>
      <c r="K752" s="412"/>
      <c r="L752" s="412"/>
      <c r="M752" s="332"/>
      <c r="N752" s="332"/>
      <c r="O752" s="318"/>
      <c r="P752" s="318"/>
      <c r="Q752" s="332"/>
      <c r="R752" s="332"/>
      <c r="S752" s="318"/>
      <c r="T752" s="318"/>
      <c r="U752" s="269">
        <f>U599+U490+377</f>
        <v>1423.74</v>
      </c>
      <c r="V752" s="269">
        <f>V599+V490+377</f>
        <v>1375.74</v>
      </c>
    </row>
    <row r="753" spans="1:30" s="8" customFormat="1" ht="15.75" hidden="1" customHeight="1" x14ac:dyDescent="0.3">
      <c r="A753" s="58"/>
      <c r="B753" s="746" t="s">
        <v>22</v>
      </c>
      <c r="C753" s="747"/>
      <c r="D753" s="747"/>
      <c r="E753" s="747"/>
      <c r="F753" s="143" t="s">
        <v>841</v>
      </c>
      <c r="G753" s="344"/>
      <c r="H753" s="344"/>
      <c r="I753" s="345"/>
      <c r="J753" s="345"/>
      <c r="K753" s="411"/>
      <c r="L753" s="411"/>
      <c r="M753" s="331"/>
      <c r="N753" s="331"/>
      <c r="O753" s="317"/>
      <c r="P753" s="317"/>
      <c r="Q753" s="331"/>
      <c r="R753" s="331"/>
      <c r="S753" s="317"/>
      <c r="T753" s="317"/>
      <c r="U753" s="269">
        <f>U137+U153+U143+U144+U84+U61+U62+U63+U156+U42+U43+U44+U158</f>
        <v>196253.6</v>
      </c>
      <c r="V753" s="269">
        <f>V137+V153+V143+V144+V84+V61+V62+V63+V156+V42+V43+V44+V158</f>
        <v>196707.6</v>
      </c>
      <c r="W753" s="71"/>
      <c r="AD753" s="85"/>
    </row>
    <row r="754" spans="1:30" s="8" customFormat="1" ht="15.75" hidden="1" customHeight="1" x14ac:dyDescent="0.3">
      <c r="A754" s="58"/>
      <c r="B754" s="746"/>
      <c r="C754" s="747"/>
      <c r="D754" s="747"/>
      <c r="E754" s="747"/>
      <c r="F754" s="143" t="s">
        <v>842</v>
      </c>
      <c r="G754" s="344"/>
      <c r="H754" s="344"/>
      <c r="I754" s="345"/>
      <c r="J754" s="345"/>
      <c r="K754" s="411"/>
      <c r="L754" s="411"/>
      <c r="M754" s="331"/>
      <c r="N754" s="331"/>
      <c r="O754" s="317"/>
      <c r="P754" s="317"/>
      <c r="Q754" s="331"/>
      <c r="R754" s="331"/>
      <c r="S754" s="317"/>
      <c r="T754" s="317"/>
      <c r="U754" s="269">
        <f>U86-97.9+U117+U74-23.8</f>
        <v>10567.000000000002</v>
      </c>
      <c r="V754" s="269">
        <f>V86-97.9+V117+V74-23.8</f>
        <v>10765.1</v>
      </c>
      <c r="W754" s="71"/>
    </row>
    <row r="755" spans="1:30" s="8" customFormat="1" ht="47.25" hidden="1" customHeight="1" x14ac:dyDescent="0.3">
      <c r="A755" s="58"/>
      <c r="B755" s="746"/>
      <c r="C755" s="747"/>
      <c r="D755" s="747"/>
      <c r="E755" s="747"/>
      <c r="F755" s="199" t="s">
        <v>849</v>
      </c>
      <c r="G755" s="346"/>
      <c r="H755" s="346"/>
      <c r="I755" s="347"/>
      <c r="J755" s="347"/>
      <c r="K755" s="412"/>
      <c r="L755" s="412"/>
      <c r="M755" s="332"/>
      <c r="N755" s="332"/>
      <c r="O755" s="318"/>
      <c r="P755" s="318"/>
      <c r="Q755" s="332"/>
      <c r="R755" s="332"/>
      <c r="S755" s="318"/>
      <c r="T755" s="318"/>
      <c r="U755" s="269">
        <f>97.9+23.8+U119</f>
        <v>121.7</v>
      </c>
      <c r="V755" s="269">
        <f>97.9+23.8+V119</f>
        <v>121.7</v>
      </c>
      <c r="W755" s="71"/>
    </row>
    <row r="756" spans="1:30" s="8" customFormat="1" ht="15.75" hidden="1" customHeight="1" x14ac:dyDescent="0.3">
      <c r="A756" s="58"/>
      <c r="B756" s="746"/>
      <c r="C756" s="747"/>
      <c r="D756" s="747"/>
      <c r="E756" s="747"/>
      <c r="F756" s="143" t="s">
        <v>856</v>
      </c>
      <c r="G756" s="344"/>
      <c r="H756" s="344"/>
      <c r="I756" s="345"/>
      <c r="J756" s="345"/>
      <c r="K756" s="411"/>
      <c r="L756" s="411"/>
      <c r="M756" s="331"/>
      <c r="N756" s="331"/>
      <c r="O756" s="317"/>
      <c r="P756" s="317"/>
      <c r="Q756" s="331"/>
      <c r="R756" s="331"/>
      <c r="S756" s="317"/>
      <c r="T756" s="317"/>
      <c r="U756" s="269">
        <f>U88</f>
        <v>12967.9</v>
      </c>
      <c r="V756" s="269">
        <f>V88</f>
        <v>12967.9</v>
      </c>
      <c r="W756" s="71"/>
    </row>
    <row r="757" spans="1:30" s="8" customFormat="1" ht="15.75" hidden="1" customHeight="1" x14ac:dyDescent="0.3">
      <c r="A757" s="58"/>
      <c r="B757" s="746" t="s">
        <v>70</v>
      </c>
      <c r="C757" s="747"/>
      <c r="D757" s="747"/>
      <c r="E757" s="747"/>
      <c r="F757" s="143" t="s">
        <v>842</v>
      </c>
      <c r="G757" s="344"/>
      <c r="H757" s="344"/>
      <c r="I757" s="345"/>
      <c r="J757" s="345"/>
      <c r="K757" s="411"/>
      <c r="L757" s="411"/>
      <c r="M757" s="331"/>
      <c r="N757" s="331"/>
      <c r="O757" s="317"/>
      <c r="P757" s="317"/>
      <c r="Q757" s="331"/>
      <c r="R757" s="331"/>
      <c r="S757" s="317"/>
      <c r="T757" s="317"/>
      <c r="U757" s="269">
        <f>U292-167.1</f>
        <v>-167.1</v>
      </c>
      <c r="V757" s="269">
        <f>V292-167.1</f>
        <v>-167.1</v>
      </c>
      <c r="W757" s="71"/>
    </row>
    <row r="758" spans="1:30" s="8" customFormat="1" ht="47.25" hidden="1" customHeight="1" x14ac:dyDescent="0.3">
      <c r="A758" s="58"/>
      <c r="B758" s="746"/>
      <c r="C758" s="747"/>
      <c r="D758" s="747"/>
      <c r="E758" s="747"/>
      <c r="F758" s="199" t="s">
        <v>849</v>
      </c>
      <c r="G758" s="346"/>
      <c r="H758" s="346"/>
      <c r="I758" s="347"/>
      <c r="J758" s="347"/>
      <c r="K758" s="412"/>
      <c r="L758" s="412"/>
      <c r="M758" s="332"/>
      <c r="N758" s="332"/>
      <c r="O758" s="318"/>
      <c r="P758" s="318"/>
      <c r="Q758" s="332"/>
      <c r="R758" s="332"/>
      <c r="S758" s="318"/>
      <c r="T758" s="318"/>
      <c r="U758" s="269">
        <f>167.1</f>
        <v>167.1</v>
      </c>
      <c r="V758" s="269">
        <f>167.1</f>
        <v>167.1</v>
      </c>
      <c r="W758" s="71"/>
    </row>
    <row r="759" spans="1:30" s="8" customFormat="1" ht="31.5" hidden="1" customHeight="1" x14ac:dyDescent="0.3">
      <c r="A759" s="58"/>
      <c r="B759" s="746" t="s">
        <v>49</v>
      </c>
      <c r="C759" s="747"/>
      <c r="D759" s="747"/>
      <c r="E759" s="747"/>
      <c r="F759" s="199" t="s">
        <v>857</v>
      </c>
      <c r="G759" s="346"/>
      <c r="H759" s="346"/>
      <c r="I759" s="347"/>
      <c r="J759" s="347"/>
      <c r="K759" s="412"/>
      <c r="L759" s="412"/>
      <c r="M759" s="332"/>
      <c r="N759" s="332"/>
      <c r="O759" s="318"/>
      <c r="P759" s="318"/>
      <c r="Q759" s="332"/>
      <c r="R759" s="332"/>
      <c r="S759" s="318"/>
      <c r="T759" s="318"/>
      <c r="U759" s="269">
        <f>U233+U186</f>
        <v>5459</v>
      </c>
      <c r="V759" s="269">
        <f>V233+V186</f>
        <v>5448</v>
      </c>
      <c r="W759" s="71"/>
    </row>
    <row r="760" spans="1:30" s="8" customFormat="1" ht="47.25" hidden="1" customHeight="1" x14ac:dyDescent="0.3">
      <c r="A760" s="58"/>
      <c r="B760" s="746"/>
      <c r="C760" s="747"/>
      <c r="D760" s="747"/>
      <c r="E760" s="747"/>
      <c r="F760" s="199" t="s">
        <v>858</v>
      </c>
      <c r="G760" s="346"/>
      <c r="H760" s="346"/>
      <c r="I760" s="347"/>
      <c r="J760" s="347"/>
      <c r="K760" s="412"/>
      <c r="L760" s="412"/>
      <c r="M760" s="332"/>
      <c r="N760" s="332"/>
      <c r="O760" s="318"/>
      <c r="P760" s="318"/>
      <c r="Q760" s="332"/>
      <c r="R760" s="332"/>
      <c r="S760" s="318"/>
      <c r="T760" s="318"/>
      <c r="U760" s="269">
        <f>U236</f>
        <v>241</v>
      </c>
      <c r="V760" s="269">
        <f>V236</f>
        <v>252</v>
      </c>
      <c r="W760" s="71"/>
    </row>
  </sheetData>
  <autoFilter ref="A11:IH745"/>
  <mergeCells count="21">
    <mergeCell ref="A7:V7"/>
    <mergeCell ref="A8:V8"/>
    <mergeCell ref="A10:A11"/>
    <mergeCell ref="B10:F10"/>
    <mergeCell ref="K10:L10"/>
    <mergeCell ref="M10:N10"/>
    <mergeCell ref="I10:J10"/>
    <mergeCell ref="S10:T10"/>
    <mergeCell ref="Q10:R10"/>
    <mergeCell ref="O10:P10"/>
    <mergeCell ref="U10:V10"/>
    <mergeCell ref="G10:H10"/>
    <mergeCell ref="B759:B760"/>
    <mergeCell ref="C759:E760"/>
    <mergeCell ref="C748:U748"/>
    <mergeCell ref="B749:B752"/>
    <mergeCell ref="C749:E752"/>
    <mergeCell ref="C753:E756"/>
    <mergeCell ref="B753:B756"/>
    <mergeCell ref="B757:B758"/>
    <mergeCell ref="C757:E758"/>
  </mergeCells>
  <pageMargins left="0.70866141732283472" right="0.59055118110236227" top="0.55118110236220474" bottom="0.43307086614173229" header="0.31496062992125984" footer="0.31496062992125984"/>
  <pageSetup paperSize="9" scale="2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14</vt:i4>
      </vt:variant>
    </vt:vector>
  </HeadingPairs>
  <TitlesOfParts>
    <vt:vector size="29" baseType="lpstr">
      <vt:lpstr>Прил 4 </vt:lpstr>
      <vt:lpstr>Прил 5</vt:lpstr>
      <vt:lpstr>Прил 6</vt:lpstr>
      <vt:lpstr>Прил 7</vt:lpstr>
      <vt:lpstr>Прил 8</vt:lpstr>
      <vt:lpstr>Прил 9</vt:lpstr>
      <vt:lpstr>Прил 12</vt:lpstr>
      <vt:lpstr>Прил 14</vt:lpstr>
      <vt:lpstr>прил15</vt:lpstr>
      <vt:lpstr>Прил 16</vt:lpstr>
      <vt:lpstr>Прил 17</vt:lpstr>
      <vt:lpstr>Прил 19</vt:lpstr>
      <vt:lpstr>Прил 18</vt:lpstr>
      <vt:lpstr>Прил 20</vt:lpstr>
      <vt:lpstr>Прил 13</vt:lpstr>
      <vt:lpstr>'Прил 14'!Заголовки_для_печати</vt:lpstr>
      <vt:lpstr>'Прил 18'!Заголовки_для_печати</vt:lpstr>
      <vt:lpstr>'Прил 4 '!Заголовки_для_печати</vt:lpstr>
      <vt:lpstr>'Прил 5'!Заголовки_для_печати</vt:lpstr>
      <vt:lpstr>'Прил 7'!Заголовки_для_печати</vt:lpstr>
      <vt:lpstr>'Прил 8'!Заголовки_для_печати</vt:lpstr>
      <vt:lpstr>'Прил 12'!Область_печати</vt:lpstr>
      <vt:lpstr>'Прил 14'!Область_печати</vt:lpstr>
      <vt:lpstr>'Прил 4 '!Область_печати</vt:lpstr>
      <vt:lpstr>'Прил 5'!Область_печати</vt:lpstr>
      <vt:lpstr>'Прил 6'!Область_печати</vt:lpstr>
      <vt:lpstr>'Прил 8'!Область_печати</vt:lpstr>
      <vt:lpstr>'Прил 9'!Область_печати</vt:lpstr>
      <vt:lpstr>прил15!Область_печати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Zvereva</cp:lastModifiedBy>
  <cp:lastPrinted>2023-08-16T08:53:37Z</cp:lastPrinted>
  <dcterms:created xsi:type="dcterms:W3CDTF">2013-11-14T12:35:48Z</dcterms:created>
  <dcterms:modified xsi:type="dcterms:W3CDTF">2023-08-20T11:08:55Z</dcterms:modified>
</cp:coreProperties>
</file>