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60" windowWidth="16875" windowHeight="8580" tabRatio="726" activeTab="1"/>
  </bookViews>
  <sheets>
    <sheet name="Расчет нормативов 2024-2026" sheetId="22" r:id="rId1"/>
    <sheet name="Плправ К по ОМС зарплата и МЗ" sheetId="39" r:id="rId2"/>
  </sheets>
  <definedNames>
    <definedName name="miF">#REF!</definedName>
    <definedName name="miH">#REF!</definedName>
    <definedName name="minAB">#REF!</definedName>
    <definedName name="minAD">#REF!</definedName>
    <definedName name="minAF">#REF!</definedName>
    <definedName name="minAH">#REF!</definedName>
    <definedName name="minN">#REF!</definedName>
    <definedName name="minU">#REF!</definedName>
    <definedName name="minZ">#REF!</definedName>
    <definedName name="miP">#REF!</definedName>
    <definedName name="miR">#REF!</definedName>
    <definedName name="miT">#REF!</definedName>
    <definedName name="_xlnm.Print_Titles" localSheetId="0">'Расчет нормативов 2024-2026'!$A:$A</definedName>
    <definedName name="_xlnm.Print_Area" localSheetId="1">'Плправ К по ОМС зарплата и МЗ'!$A$1:$K$30</definedName>
    <definedName name="_xlnm.Print_Area" localSheetId="0">'Расчет нормативов 2024-2026'!$A$1:$X$23</definedName>
  </definedNames>
  <calcPr calcId="144525"/>
</workbook>
</file>

<file path=xl/calcChain.xml><?xml version="1.0" encoding="utf-8"?>
<calcChain xmlns="http://schemas.openxmlformats.org/spreadsheetml/2006/main">
  <c r="D10" i="39" l="1"/>
  <c r="X10" i="22" l="1"/>
  <c r="X12" i="22"/>
  <c r="X15" i="22"/>
  <c r="X17" i="22"/>
  <c r="X19" i="22"/>
  <c r="X7" i="22"/>
  <c r="T7" i="22"/>
  <c r="R7" i="22"/>
  <c r="W7" i="22"/>
  <c r="H11" i="39" l="1"/>
  <c r="H12" i="39"/>
  <c r="H13" i="39"/>
  <c r="H14" i="39"/>
  <c r="H15" i="39"/>
  <c r="H16" i="39"/>
  <c r="H17" i="39"/>
  <c r="H18" i="39"/>
  <c r="H19" i="39"/>
  <c r="H20" i="39"/>
  <c r="H21" i="39"/>
  <c r="H22" i="39"/>
  <c r="H10" i="39"/>
  <c r="H24" i="39" s="1"/>
  <c r="F11" i="39"/>
  <c r="F12" i="39"/>
  <c r="F13" i="39"/>
  <c r="F14" i="39"/>
  <c r="F15" i="39"/>
  <c r="F16" i="39"/>
  <c r="F17" i="39"/>
  <c r="F18" i="39"/>
  <c r="F19" i="39"/>
  <c r="F20" i="39"/>
  <c r="F21" i="39"/>
  <c r="F22" i="39"/>
  <c r="F10" i="39"/>
  <c r="H23" i="39" l="1"/>
  <c r="I10" i="39" s="1"/>
  <c r="L19" i="22" l="1"/>
  <c r="K19" i="22"/>
  <c r="K8" i="22"/>
  <c r="K9" i="22"/>
  <c r="K10" i="22"/>
  <c r="K11" i="22"/>
  <c r="K12" i="22"/>
  <c r="K13" i="22"/>
  <c r="K14" i="22"/>
  <c r="K15" i="22"/>
  <c r="K16" i="22"/>
  <c r="L16" i="22" s="1"/>
  <c r="K17" i="22"/>
  <c r="L17" i="22" s="1"/>
  <c r="K18" i="22"/>
  <c r="K7" i="22"/>
  <c r="G8" i="22"/>
  <c r="G9" i="22"/>
  <c r="G10" i="22"/>
  <c r="L10" i="22" s="1"/>
  <c r="G11" i="22"/>
  <c r="G12" i="22"/>
  <c r="G13" i="22"/>
  <c r="G14" i="22"/>
  <c r="L14" i="22" s="1"/>
  <c r="G15" i="22"/>
  <c r="G16" i="22"/>
  <c r="G17" i="22"/>
  <c r="G18" i="22"/>
  <c r="L18" i="22" s="1"/>
  <c r="G19" i="22"/>
  <c r="G7" i="22"/>
  <c r="L7" i="22" s="1"/>
  <c r="L8" i="22"/>
  <c r="L9" i="22"/>
  <c r="L11" i="22"/>
  <c r="L12" i="22"/>
  <c r="L13" i="22"/>
  <c r="L15" i="22"/>
  <c r="J20" i="22"/>
  <c r="H20" i="22"/>
  <c r="I20" i="22"/>
  <c r="K20" i="22" l="1"/>
  <c r="D19" i="22" l="1"/>
  <c r="D18" i="22"/>
  <c r="D17" i="22"/>
  <c r="D16" i="22"/>
  <c r="D15" i="22"/>
  <c r="D14" i="22"/>
  <c r="D13" i="22"/>
  <c r="D12" i="22"/>
  <c r="D11" i="22"/>
  <c r="D10" i="22"/>
  <c r="D9" i="22"/>
  <c r="D8" i="22"/>
  <c r="D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7" i="22"/>
  <c r="U13" i="22"/>
  <c r="S20" i="22"/>
  <c r="W9" i="22"/>
  <c r="W10" i="22"/>
  <c r="W11" i="22"/>
  <c r="W12" i="22"/>
  <c r="W13" i="22"/>
  <c r="W14" i="22"/>
  <c r="W15" i="22"/>
  <c r="W16" i="22"/>
  <c r="W17" i="22"/>
  <c r="W18" i="22"/>
  <c r="W19" i="22"/>
  <c r="Q8" i="22"/>
  <c r="R8" i="22"/>
  <c r="W8" i="22" s="1"/>
  <c r="Q7" i="22"/>
  <c r="T9" i="22"/>
  <c r="X9" i="22" s="1"/>
  <c r="T10" i="22"/>
  <c r="T11" i="22"/>
  <c r="X11" i="22" s="1"/>
  <c r="T12" i="22"/>
  <c r="T13" i="22"/>
  <c r="X13" i="22" s="1"/>
  <c r="T14" i="22"/>
  <c r="X14" i="22" s="1"/>
  <c r="T15" i="22"/>
  <c r="T16" i="22"/>
  <c r="X16" i="22" s="1"/>
  <c r="T17" i="22"/>
  <c r="T18" i="22"/>
  <c r="X18" i="22" s="1"/>
  <c r="T19" i="22"/>
  <c r="T8" i="22"/>
  <c r="X8" i="22" s="1"/>
  <c r="B24" i="39"/>
  <c r="B23" i="39"/>
  <c r="C21" i="39" s="1"/>
  <c r="D22" i="39"/>
  <c r="D21" i="39"/>
  <c r="D20" i="39"/>
  <c r="D19" i="39"/>
  <c r="D18" i="39"/>
  <c r="C18" i="39"/>
  <c r="D17" i="39"/>
  <c r="D16" i="39"/>
  <c r="D15" i="39"/>
  <c r="D14" i="39"/>
  <c r="D13" i="39"/>
  <c r="D12" i="39"/>
  <c r="D11" i="39"/>
  <c r="C11" i="39"/>
  <c r="C14" i="39"/>
  <c r="C20" i="39"/>
  <c r="C13" i="39"/>
  <c r="B20" i="22"/>
  <c r="U19" i="22"/>
  <c r="U17" i="22"/>
  <c r="U16" i="22"/>
  <c r="U15" i="22"/>
  <c r="U12" i="22"/>
  <c r="U11" i="22"/>
  <c r="U9" i="22"/>
  <c r="U8" i="22"/>
  <c r="U7" i="22"/>
  <c r="C20" i="22"/>
  <c r="F20" i="22"/>
  <c r="M20" i="22" s="1"/>
  <c r="N20" i="22"/>
  <c r="O20" i="22"/>
  <c r="P20" i="22"/>
  <c r="G32" i="22"/>
  <c r="Q32" i="22"/>
  <c r="V32" i="22"/>
  <c r="V45" i="22" s="1"/>
  <c r="W32" i="22"/>
  <c r="W45" i="22" s="1"/>
  <c r="G33" i="22"/>
  <c r="Q33" i="22"/>
  <c r="V33" i="22"/>
  <c r="W33" i="22"/>
  <c r="G34" i="22"/>
  <c r="Q34" i="22"/>
  <c r="V34" i="22"/>
  <c r="W34" i="22"/>
  <c r="G35" i="22"/>
  <c r="Q35" i="22"/>
  <c r="V35" i="22"/>
  <c r="W35" i="22"/>
  <c r="G36" i="22"/>
  <c r="Q36" i="22"/>
  <c r="V36" i="22"/>
  <c r="W36" i="22"/>
  <c r="G37" i="22"/>
  <c r="Q37" i="22"/>
  <c r="V37" i="22"/>
  <c r="W37" i="22"/>
  <c r="G38" i="22"/>
  <c r="Q38" i="22"/>
  <c r="V38" i="22"/>
  <c r="W38" i="22"/>
  <c r="G39" i="22"/>
  <c r="Q39" i="22"/>
  <c r="V39" i="22"/>
  <c r="W39" i="22"/>
  <c r="G40" i="22"/>
  <c r="Q40" i="22"/>
  <c r="V40" i="22"/>
  <c r="W40" i="22"/>
  <c r="G41" i="22"/>
  <c r="Q41" i="22"/>
  <c r="V41" i="22"/>
  <c r="W41" i="22"/>
  <c r="G42" i="22"/>
  <c r="Q42" i="22"/>
  <c r="V42" i="22"/>
  <c r="W42" i="22"/>
  <c r="G43" i="22"/>
  <c r="Q43" i="22"/>
  <c r="V43" i="22"/>
  <c r="W43" i="22"/>
  <c r="G44" i="22"/>
  <c r="X44" i="22"/>
  <c r="Q44" i="22"/>
  <c r="V44" i="22"/>
  <c r="W44" i="22"/>
  <c r="D45" i="22"/>
  <c r="E45" i="22"/>
  <c r="F45" i="22"/>
  <c r="N45" i="22"/>
  <c r="O45" i="22"/>
  <c r="P45" i="22"/>
  <c r="U45" i="22"/>
  <c r="X36" i="22"/>
  <c r="X39" i="22"/>
  <c r="X38" i="22"/>
  <c r="X37" i="22"/>
  <c r="X35" i="22"/>
  <c r="X34" i="22"/>
  <c r="G45" i="22"/>
  <c r="Q45" i="22"/>
  <c r="X32" i="22"/>
  <c r="X45" i="22" s="1"/>
  <c r="E20" i="22"/>
  <c r="X41" i="22"/>
  <c r="X43" i="22"/>
  <c r="X40" i="22"/>
  <c r="X42" i="22"/>
  <c r="X33" i="22"/>
  <c r="V20" i="22"/>
  <c r="X21" i="22" l="1"/>
  <c r="X20" i="22"/>
  <c r="W20" i="22"/>
  <c r="D23" i="39"/>
  <c r="E22" i="39" s="1"/>
  <c r="I17" i="39"/>
  <c r="T20" i="22"/>
  <c r="Q20" i="22"/>
  <c r="R20" i="22" s="1"/>
  <c r="C16" i="39"/>
  <c r="D24" i="39"/>
  <c r="U18" i="22"/>
  <c r="U10" i="22"/>
  <c r="D20" i="22"/>
  <c r="L20" i="22" s="1"/>
  <c r="C12" i="39"/>
  <c r="C10" i="39"/>
  <c r="C19" i="39"/>
  <c r="U14" i="22"/>
  <c r="C17" i="39"/>
  <c r="C22" i="39"/>
  <c r="C15" i="39"/>
  <c r="I16" i="39" l="1"/>
  <c r="I11" i="39"/>
  <c r="I13" i="39"/>
  <c r="I18" i="39"/>
  <c r="I22" i="39"/>
  <c r="I21" i="39"/>
  <c r="I20" i="39"/>
  <c r="I19" i="39"/>
  <c r="I14" i="39"/>
  <c r="I12" i="39"/>
  <c r="I15" i="39"/>
  <c r="G20" i="22"/>
  <c r="E11" i="39"/>
  <c r="E21" i="39"/>
  <c r="E20" i="39"/>
  <c r="E13" i="39"/>
  <c r="E14" i="39"/>
  <c r="E17" i="39"/>
  <c r="U20" i="22"/>
  <c r="E16" i="39"/>
  <c r="E12" i="39"/>
  <c r="E10" i="39"/>
  <c r="E15" i="39"/>
  <c r="E18" i="39"/>
  <c r="E19" i="39"/>
  <c r="F24" i="39"/>
  <c r="F23" i="39"/>
  <c r="G21" i="39" s="1"/>
  <c r="I23" i="39" l="1"/>
  <c r="I24" i="39"/>
  <c r="E25" i="39"/>
  <c r="J21" i="39" s="1"/>
  <c r="G14" i="39"/>
  <c r="G15" i="39"/>
  <c r="G20" i="39"/>
  <c r="G22" i="39"/>
  <c r="G18" i="39"/>
  <c r="G19" i="39"/>
  <c r="G11" i="39"/>
  <c r="G12" i="39"/>
  <c r="G16" i="39"/>
  <c r="G13" i="39"/>
  <c r="G10" i="39"/>
  <c r="G17" i="39"/>
  <c r="J13" i="39" l="1"/>
  <c r="J19" i="39"/>
  <c r="J15" i="39"/>
  <c r="J17" i="39"/>
  <c r="J11" i="39"/>
  <c r="J20" i="39"/>
  <c r="J16" i="39"/>
  <c r="J18" i="39"/>
  <c r="J14" i="39"/>
  <c r="J10" i="39"/>
  <c r="J12" i="39"/>
  <c r="J22" i="39"/>
  <c r="G24" i="39"/>
  <c r="G23" i="39"/>
  <c r="J24" i="39" l="1"/>
  <c r="J23" i="39"/>
  <c r="K12" i="39" l="1"/>
  <c r="K11" i="39"/>
  <c r="K20" i="39"/>
  <c r="K17" i="39"/>
  <c r="K21" i="39"/>
  <c r="K16" i="39"/>
  <c r="K13" i="39"/>
  <c r="K19" i="39"/>
  <c r="K22" i="39"/>
  <c r="K10" i="39"/>
  <c r="K14" i="39"/>
  <c r="K18" i="39"/>
  <c r="K15" i="39"/>
</calcChain>
</file>

<file path=xl/comments1.xml><?xml version="1.0" encoding="utf-8"?>
<comments xmlns="http://schemas.openxmlformats.org/spreadsheetml/2006/main">
  <authors>
    <author>User-46</author>
    <author>User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04"/>
          </rPr>
          <t>User-46:</t>
        </r>
        <r>
          <rPr>
            <sz val="9"/>
            <color indexed="81"/>
            <rFont val="Tahoma"/>
            <family val="2"/>
            <charset val="204"/>
          </rPr>
          <t xml:space="preserve">
кассовый расход за 2022 год по разделу 0102,0104,0113 без косгу 211,213,266,310,251, 223 </t>
        </r>
      </text>
    </comment>
    <comment ref="N4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без платных услуг
</t>
        </r>
      </text>
    </comment>
    <comment ref="O4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без платных услуг
</t>
        </r>
      </text>
    </comment>
    <comment ref="P4" authorId="1">
      <text>
        <r>
          <rPr>
            <b/>
            <sz val="9"/>
            <color indexed="81"/>
            <rFont val="Tahoma"/>
            <family val="2"/>
            <charset val="204"/>
          </rPr>
          <t>User: Кассовые расходы за 2022 год без учета 310 когсу, без учета платных услуг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S4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кассовые расходы за 2022 год 0503
без учета 310 косгу, без софинансирования к целевым</t>
        </r>
      </text>
    </comment>
    <comment ref="J5" authorId="1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без учета 310 и 251 косгу</t>
        </r>
      </text>
    </comment>
  </commentList>
</comments>
</file>

<file path=xl/sharedStrings.xml><?xml version="1.0" encoding="utf-8"?>
<sst xmlns="http://schemas.openxmlformats.org/spreadsheetml/2006/main" count="113" uniqueCount="68">
  <si>
    <t>Наименование поселения</t>
  </si>
  <si>
    <t>ИТОГО</t>
  </si>
  <si>
    <t>Органы местного самоуправления</t>
  </si>
  <si>
    <t>прочие</t>
  </si>
  <si>
    <t>Культура</t>
  </si>
  <si>
    <t>з/п с начисл.</t>
  </si>
  <si>
    <t>тепло</t>
  </si>
  <si>
    <t>ИТОГО расходов по культуре</t>
  </si>
  <si>
    <t>Всего</t>
  </si>
  <si>
    <t>КУ</t>
  </si>
  <si>
    <t>Благоустройство</t>
  </si>
  <si>
    <t xml:space="preserve">ВСЕГО </t>
  </si>
  <si>
    <t>Гремячевское сельское поселение</t>
  </si>
  <si>
    <t>Краснополянское городское поселение</t>
  </si>
  <si>
    <t>Ершовское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</si>
  <si>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</si>
  <si>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</si>
  <si>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</si>
  <si>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Слудское сельское поселение</t>
  </si>
  <si>
    <t>Среднетойменское сельское поселение</t>
  </si>
  <si>
    <t>Старопинигерское сельское поселение</t>
  </si>
  <si>
    <t>Усть-Люгинское сельское поселение</t>
  </si>
  <si>
    <t>Чекашевское сельское поселение</t>
  </si>
  <si>
    <t>Сосновское городское поселение</t>
  </si>
  <si>
    <t>Среднешунское сельское поселение</t>
  </si>
  <si>
    <t>Прогнозный объем расходов на 2012 год (по данным поселений)</t>
  </si>
  <si>
    <t>Оплата коммунальных услуг</t>
  </si>
  <si>
    <t xml:space="preserve">Расчет </t>
  </si>
  <si>
    <t>комплексной оценки удорожания стоимости выполнения вопросов местного значения</t>
  </si>
  <si>
    <t>Поселения</t>
  </si>
  <si>
    <t>Расстояние до г. Вятские Поляны (км)</t>
  </si>
  <si>
    <t>Оплата труда в органах местного самоуправления</t>
  </si>
  <si>
    <t>Комплексная оценка удорожания стоимости выполнения вопросов местного значения</t>
  </si>
  <si>
    <t>Поправочный коэффициент</t>
  </si>
  <si>
    <t>Весовой коэффициент</t>
  </si>
  <si>
    <t>Основание (источник информации)</t>
  </si>
  <si>
    <t>Справочник "Административно-территориальное устройство" на 15 июня 2008 года</t>
  </si>
  <si>
    <t>отношение к минимальному в группе</t>
  </si>
  <si>
    <t xml:space="preserve">В соответствии с согласованными исходными данными </t>
  </si>
  <si>
    <t>Минимальное значение в группе</t>
  </si>
  <si>
    <t>Максимальное значение в группе</t>
  </si>
  <si>
    <t xml:space="preserve">Максимальное значение </t>
  </si>
  <si>
    <t>прочие расходы (кассовые расходы)</t>
  </si>
  <si>
    <t>Норматив, рублей</t>
  </si>
  <si>
    <t>Всего, тыс. рублей</t>
  </si>
  <si>
    <t>численность населения на31.12.2022</t>
  </si>
  <si>
    <t>норматив, рублей</t>
  </si>
  <si>
    <t>КУ (кассовые расходы 0801)</t>
  </si>
  <si>
    <t>ОМС</t>
  </si>
  <si>
    <t>Норматив на содержание органов местного самоуправления в части прочих услуг, рублей</t>
  </si>
  <si>
    <t>численность населения на31.12.2023</t>
  </si>
  <si>
    <t>ФОТ за 2022 год по мун служащим (отчет НОРМ)</t>
  </si>
  <si>
    <t>ФОТ за 2022 год по учреждениям культуры</t>
  </si>
  <si>
    <t>Расходы за 2022 год (кассовые расходы)</t>
  </si>
  <si>
    <t>финансовые нормативы к утверждению для бюджета на 2024 год</t>
  </si>
  <si>
    <t>Прогнозный объем расходов на 2024 год  для расчета дотации на выравнивание</t>
  </si>
  <si>
    <t xml:space="preserve">Плотность населения на 01.01.2022 г., чел. на 1 кв.км. </t>
  </si>
  <si>
    <t>КУ за 2022 год (кассовые расходы 0104)</t>
  </si>
  <si>
    <t>Другие общегосударственные вопросы (0113)</t>
  </si>
  <si>
    <t>Прочие расходы</t>
  </si>
  <si>
    <t>ФОТ за 2022 год</t>
  </si>
  <si>
    <t>КУ за 2022 год</t>
  </si>
  <si>
    <t xml:space="preserve">Таблица "Численность  постоянного  населения  области 
по  муниципальным образованиям на 1 января 2024 года", данные управления Росреестра по Кировской области </t>
  </si>
  <si>
    <t xml:space="preserve">Содержание органов местного самоуправления поселений </t>
  </si>
  <si>
    <t>Норматив на содержание органов местного самоуправления , рублей</t>
  </si>
  <si>
    <t>Содержание органов местного самоуправления</t>
  </si>
  <si>
    <t>Создание условий для организации досуга и обеспечение жителей услугами организаций культуры</t>
  </si>
  <si>
    <t>Организация благоустройства в населённых пунктах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</si>
</sst>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46">
    <xf numFmtId="0" fontId="0" fillId="0" borderId="0" xfId="0"/>
    <xf numFmtId="4" fontId="3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6" fontId="7" fillId="2" borderId="0" xfId="2" applyNumberFormat="1" applyFont="1" applyFill="1" applyAlignment="1">
      <alignment horizontal="center" vertical="center" wrapText="1"/>
    </xf>
    <xf numFmtId="166" fontId="7" fillId="2" borderId="0" xfId="2" applyNumberFormat="1" applyFont="1" applyFill="1" applyAlignment="1"/>
    <xf numFmtId="3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164" fontId="7" fillId="2" borderId="0" xfId="2" applyFont="1" applyFill="1" applyAlignment="1">
      <alignment horizontal="center"/>
    </xf>
    <xf numFmtId="166" fontId="7" fillId="2" borderId="0" xfId="2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7" fontId="4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vertical="center" wrapText="1"/>
    </xf>
    <xf numFmtId="4" fontId="11" fillId="2" borderId="5" xfId="0" applyNumberFormat="1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vertical="center" wrapText="1"/>
    </xf>
    <xf numFmtId="3" fontId="11" fillId="2" borderId="8" xfId="0" applyNumberFormat="1" applyFont="1" applyFill="1" applyBorder="1" applyAlignment="1">
      <alignment vertical="center" wrapText="1"/>
    </xf>
    <xf numFmtId="3" fontId="11" fillId="2" borderId="9" xfId="0" applyNumberFormat="1" applyFont="1" applyFill="1" applyBorder="1" applyAlignment="1">
      <alignment vertical="center" wrapText="1"/>
    </xf>
    <xf numFmtId="4" fontId="12" fillId="0" borderId="34" xfId="0" applyNumberFormat="1" applyFont="1" applyFill="1" applyBorder="1" applyAlignment="1">
      <alignment horizontal="righ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vertical="center" wrapText="1"/>
    </xf>
    <xf numFmtId="4" fontId="4" fillId="2" borderId="7" xfId="0" applyNumberFormat="1" applyFont="1" applyFill="1" applyBorder="1" applyAlignment="1">
      <alignment vertical="center" wrapText="1"/>
    </xf>
    <xf numFmtId="4" fontId="11" fillId="2" borderId="0" xfId="0" applyNumberFormat="1" applyFont="1" applyFill="1" applyAlignment="1">
      <alignment vertical="center" wrapText="1"/>
    </xf>
    <xf numFmtId="3" fontId="11" fillId="3" borderId="6" xfId="0" applyNumberFormat="1" applyFont="1" applyFill="1" applyBorder="1" applyAlignment="1">
      <alignment vertical="center" wrapText="1"/>
    </xf>
    <xf numFmtId="3" fontId="11" fillId="3" borderId="2" xfId="0" applyNumberFormat="1" applyFont="1" applyFill="1" applyBorder="1" applyAlignment="1">
      <alignment vertical="center" wrapText="1"/>
    </xf>
    <xf numFmtId="4" fontId="11" fillId="3" borderId="8" xfId="0" applyNumberFormat="1" applyFont="1" applyFill="1" applyBorder="1" applyAlignment="1">
      <alignment vertical="center" wrapText="1"/>
    </xf>
    <xf numFmtId="4" fontId="11" fillId="3" borderId="12" xfId="0" applyNumberFormat="1" applyFont="1" applyFill="1" applyBorder="1" applyAlignment="1">
      <alignment vertical="center" wrapText="1"/>
    </xf>
    <xf numFmtId="4" fontId="11" fillId="3" borderId="9" xfId="0" applyNumberFormat="1" applyFont="1" applyFill="1" applyBorder="1" applyAlignment="1">
      <alignment vertical="center" wrapText="1"/>
    </xf>
    <xf numFmtId="4" fontId="11" fillId="0" borderId="8" xfId="0" applyNumberFormat="1" applyFont="1" applyFill="1" applyBorder="1" applyAlignment="1">
      <alignment vertical="center" wrapText="1"/>
    </xf>
    <xf numFmtId="4" fontId="11" fillId="2" borderId="12" xfId="0" applyNumberFormat="1" applyFont="1" applyFill="1" applyBorder="1" applyAlignment="1">
      <alignment vertical="center" wrapText="1"/>
    </xf>
    <xf numFmtId="3" fontId="11" fillId="2" borderId="12" xfId="0" applyNumberFormat="1" applyFont="1" applyFill="1" applyBorder="1" applyAlignment="1">
      <alignment vertical="center" wrapText="1"/>
    </xf>
    <xf numFmtId="4" fontId="11" fillId="2" borderId="8" xfId="0" applyNumberFormat="1" applyFont="1" applyFill="1" applyBorder="1" applyAlignment="1">
      <alignment vertical="center" wrapText="1"/>
    </xf>
    <xf numFmtId="4" fontId="11" fillId="2" borderId="9" xfId="0" applyNumberFormat="1" applyFont="1" applyFill="1" applyBorder="1" applyAlignment="1">
      <alignment vertical="center" wrapText="1"/>
    </xf>
    <xf numFmtId="4" fontId="4" fillId="2" borderId="13" xfId="0" applyNumberFormat="1" applyFont="1" applyFill="1" applyBorder="1" applyAlignment="1">
      <alignment vertical="center" wrapText="1"/>
    </xf>
    <xf numFmtId="3" fontId="4" fillId="2" borderId="14" xfId="0" applyNumberFormat="1" applyFont="1" applyFill="1" applyBorder="1" applyAlignment="1">
      <alignment vertical="center" wrapText="1"/>
    </xf>
    <xf numFmtId="3" fontId="4" fillId="2" borderId="11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4" fillId="2" borderId="14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3" fontId="11" fillId="3" borderId="14" xfId="0" applyNumberFormat="1" applyFont="1" applyFill="1" applyBorder="1" applyAlignment="1">
      <alignment vertical="center" wrapText="1"/>
    </xf>
    <xf numFmtId="3" fontId="11" fillId="3" borderId="3" xfId="0" applyNumberFormat="1" applyFont="1" applyFill="1" applyBorder="1" applyAlignment="1">
      <alignment vertical="center" wrapText="1"/>
    </xf>
    <xf numFmtId="3" fontId="11" fillId="3" borderId="1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vertical="center" wrapText="1"/>
    </xf>
    <xf numFmtId="3" fontId="3" fillId="2" borderId="11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3" fontId="4" fillId="2" borderId="0" xfId="0" applyNumberFormat="1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quotePrefix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3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5"/>
  <sheetViews>
    <sheetView zoomScaleNormal="100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N14" sqref="N14"/>
    </sheetView>
  </sheetViews>
  <sheetFormatPr defaultColWidth="25.85546875" defaultRowHeight="12.75" x14ac:dyDescent="0.2"/>
  <cols>
    <col min="1" max="1" width="21.5703125" style="2" customWidth="1"/>
    <col min="2" max="2" width="11.7109375" style="2" customWidth="1"/>
    <col min="3" max="3" width="13" style="2" customWidth="1"/>
    <col min="4" max="4" width="10.42578125" style="2" customWidth="1"/>
    <col min="5" max="5" width="11.85546875" style="2" customWidth="1"/>
    <col min="6" max="10" width="10.42578125" style="2" customWidth="1"/>
    <col min="11" max="11" width="11" style="2" customWidth="1"/>
    <col min="12" max="12" width="17.42578125" style="2" customWidth="1"/>
    <col min="13" max="13" width="16" style="2" hidden="1" customWidth="1"/>
    <col min="14" max="20" width="10.42578125" style="2" customWidth="1"/>
    <col min="21" max="21" width="12.42578125" style="2" customWidth="1"/>
    <col min="22" max="22" width="10.42578125" style="2" hidden="1" customWidth="1"/>
    <col min="23" max="23" width="12.140625" style="2" customWidth="1"/>
    <col min="24" max="24" width="10.42578125" style="2" customWidth="1"/>
    <col min="25" max="16384" width="25.85546875" style="2"/>
  </cols>
  <sheetData>
    <row r="1" spans="1:25" ht="12.75" customHeight="1" x14ac:dyDescent="0.2">
      <c r="A1" s="116" t="s">
        <v>55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</row>
    <row r="2" spans="1:25" ht="13.5" thickBot="1" x14ac:dyDescent="0.25"/>
    <row r="3" spans="1:25" s="3" customFormat="1" ht="52.5" customHeight="1" x14ac:dyDescent="0.2">
      <c r="A3" s="106" t="s">
        <v>0</v>
      </c>
      <c r="B3" s="126" t="s">
        <v>50</v>
      </c>
      <c r="C3" s="104" t="s">
        <v>45</v>
      </c>
      <c r="D3" s="106" t="s">
        <v>65</v>
      </c>
      <c r="E3" s="107"/>
      <c r="F3" s="107"/>
      <c r="G3" s="107"/>
      <c r="H3" s="107"/>
      <c r="I3" s="107"/>
      <c r="J3" s="107"/>
      <c r="K3" s="107"/>
      <c r="L3" s="107"/>
      <c r="M3" s="108"/>
      <c r="N3" s="123" t="s">
        <v>66</v>
      </c>
      <c r="O3" s="124"/>
      <c r="P3" s="124"/>
      <c r="Q3" s="124"/>
      <c r="R3" s="125"/>
      <c r="S3" s="123" t="s">
        <v>67</v>
      </c>
      <c r="T3" s="125"/>
      <c r="U3" s="111" t="s">
        <v>54</v>
      </c>
      <c r="V3" s="112"/>
      <c r="W3" s="112"/>
      <c r="X3" s="113"/>
    </row>
    <row r="4" spans="1:25" s="3" customFormat="1" ht="47.25" customHeight="1" x14ac:dyDescent="0.2">
      <c r="A4" s="122"/>
      <c r="B4" s="120"/>
      <c r="C4" s="103"/>
      <c r="D4" s="118" t="s">
        <v>51</v>
      </c>
      <c r="E4" s="105" t="s">
        <v>57</v>
      </c>
      <c r="F4" s="98" t="s">
        <v>42</v>
      </c>
      <c r="G4" s="97" t="s">
        <v>44</v>
      </c>
      <c r="H4" s="105" t="s">
        <v>58</v>
      </c>
      <c r="I4" s="127"/>
      <c r="J4" s="127"/>
      <c r="K4" s="128"/>
      <c r="L4" s="109" t="s">
        <v>64</v>
      </c>
      <c r="M4" s="99" t="s">
        <v>49</v>
      </c>
      <c r="N4" s="120" t="s">
        <v>52</v>
      </c>
      <c r="O4" s="101" t="s">
        <v>47</v>
      </c>
      <c r="P4" s="98" t="s">
        <v>3</v>
      </c>
      <c r="Q4" s="97" t="s">
        <v>8</v>
      </c>
      <c r="R4" s="52" t="s">
        <v>46</v>
      </c>
      <c r="S4" s="120" t="s">
        <v>53</v>
      </c>
      <c r="T4" s="103" t="s">
        <v>43</v>
      </c>
      <c r="U4" s="131" t="s">
        <v>48</v>
      </c>
      <c r="V4" s="132"/>
      <c r="W4" s="129" t="s">
        <v>4</v>
      </c>
      <c r="X4" s="114" t="s">
        <v>10</v>
      </c>
    </row>
    <row r="5" spans="1:25" s="3" customFormat="1" ht="51" customHeight="1" x14ac:dyDescent="0.2">
      <c r="A5" s="122"/>
      <c r="B5" s="121"/>
      <c r="C5" s="100"/>
      <c r="D5" s="119"/>
      <c r="E5" s="102"/>
      <c r="F5" s="96"/>
      <c r="G5" s="98"/>
      <c r="H5" s="94" t="s">
        <v>60</v>
      </c>
      <c r="I5" s="94" t="s">
        <v>61</v>
      </c>
      <c r="J5" s="94" t="s">
        <v>59</v>
      </c>
      <c r="K5" s="94" t="s">
        <v>44</v>
      </c>
      <c r="L5" s="110"/>
      <c r="M5" s="100"/>
      <c r="N5" s="121"/>
      <c r="O5" s="102"/>
      <c r="P5" s="96"/>
      <c r="Q5" s="98"/>
      <c r="R5" s="53"/>
      <c r="S5" s="121"/>
      <c r="T5" s="100"/>
      <c r="U5" s="133"/>
      <c r="V5" s="134"/>
      <c r="W5" s="130"/>
      <c r="X5" s="115"/>
    </row>
    <row r="6" spans="1:25" s="3" customFormat="1" ht="13.5" thickBot="1" x14ac:dyDescent="0.25">
      <c r="A6" s="78">
        <v>1</v>
      </c>
      <c r="B6" s="79">
        <v>2</v>
      </c>
      <c r="C6" s="80">
        <v>3</v>
      </c>
      <c r="D6" s="81">
        <v>4</v>
      </c>
      <c r="E6" s="82">
        <v>5</v>
      </c>
      <c r="F6" s="82">
        <v>6</v>
      </c>
      <c r="G6" s="82">
        <v>7</v>
      </c>
      <c r="H6" s="82"/>
      <c r="I6" s="82"/>
      <c r="J6" s="82"/>
      <c r="K6" s="82"/>
      <c r="L6" s="82">
        <v>8</v>
      </c>
      <c r="M6" s="80">
        <v>9</v>
      </c>
      <c r="N6" s="79">
        <v>10</v>
      </c>
      <c r="O6" s="82">
        <v>11</v>
      </c>
      <c r="P6" s="82">
        <v>12</v>
      </c>
      <c r="Q6" s="82">
        <v>13</v>
      </c>
      <c r="R6" s="80">
        <v>14</v>
      </c>
      <c r="S6" s="79">
        <v>15</v>
      </c>
      <c r="T6" s="80">
        <v>16</v>
      </c>
      <c r="U6" s="83">
        <v>17</v>
      </c>
      <c r="V6" s="84">
        <v>18</v>
      </c>
      <c r="W6" s="84">
        <v>19</v>
      </c>
      <c r="X6" s="85">
        <v>20</v>
      </c>
    </row>
    <row r="7" spans="1:25" s="7" customFormat="1" ht="25.5" x14ac:dyDescent="0.25">
      <c r="A7" s="67" t="s">
        <v>13</v>
      </c>
      <c r="B7" s="68">
        <v>5083</v>
      </c>
      <c r="C7" s="69">
        <v>5173</v>
      </c>
      <c r="D7" s="70">
        <f>2677.72*1.302</f>
        <v>3486.3914399999999</v>
      </c>
      <c r="E7" s="71">
        <v>95.085939999999994</v>
      </c>
      <c r="F7" s="72">
        <v>191.58722</v>
      </c>
      <c r="G7" s="72">
        <f>SUM(D7:F7)</f>
        <v>3773.0645999999997</v>
      </c>
      <c r="H7" s="72">
        <v>395.60365999999999</v>
      </c>
      <c r="I7" s="72">
        <v>67.778570000000002</v>
      </c>
      <c r="J7" s="72">
        <v>580.34175000000005</v>
      </c>
      <c r="K7" s="72">
        <f>H7+I7+J7</f>
        <v>1043.72398</v>
      </c>
      <c r="L7" s="86">
        <f>(G7+K7)/C7*1000</f>
        <v>931.14026290353752</v>
      </c>
      <c r="M7" s="87">
        <f>F7/C7*1000</f>
        <v>37.035998453508604</v>
      </c>
      <c r="N7" s="73">
        <v>6104.1113699999996</v>
      </c>
      <c r="O7" s="72">
        <v>787.75436999999999</v>
      </c>
      <c r="P7" s="72">
        <v>17</v>
      </c>
      <c r="Q7" s="72">
        <f>N7+O7+P7</f>
        <v>6908.8657399999993</v>
      </c>
      <c r="R7" s="74">
        <f>Q7/C7*1000</f>
        <v>1335.5626792963462</v>
      </c>
      <c r="S7" s="73">
        <v>1879.4537</v>
      </c>
      <c r="T7" s="69">
        <f>S7/C7*1000</f>
        <v>363.31987241445967</v>
      </c>
      <c r="U7" s="75">
        <f>L7</f>
        <v>931.14026290353752</v>
      </c>
      <c r="V7" s="76">
        <v>190</v>
      </c>
      <c r="W7" s="76">
        <f>R7</f>
        <v>1335.5626792963462</v>
      </c>
      <c r="X7" s="77">
        <f>T7</f>
        <v>363.31987241445967</v>
      </c>
    </row>
    <row r="8" spans="1:25" s="7" customFormat="1" ht="25.5" x14ac:dyDescent="0.25">
      <c r="A8" s="45" t="s">
        <v>23</v>
      </c>
      <c r="B8" s="47">
        <v>8133</v>
      </c>
      <c r="C8" s="48">
        <v>8276</v>
      </c>
      <c r="D8" s="51">
        <f>4555.37*1.302</f>
        <v>5931.0917399999998</v>
      </c>
      <c r="E8" s="35">
        <v>161.43746999999999</v>
      </c>
      <c r="F8" s="6">
        <v>353.6936</v>
      </c>
      <c r="G8" s="72">
        <f t="shared" ref="G8:G19" si="0">SUM(D8:F8)</f>
        <v>6446.2228099999993</v>
      </c>
      <c r="H8" s="72">
        <v>1279.9494299999999</v>
      </c>
      <c r="I8" s="72">
        <v>431.83330000000001</v>
      </c>
      <c r="J8" s="72">
        <v>505.91685999999999</v>
      </c>
      <c r="K8" s="72">
        <f t="shared" ref="K8:K18" si="1">H8+I8+J8</f>
        <v>2217.6995899999997</v>
      </c>
      <c r="L8" s="86">
        <f t="shared" ref="L8:L18" si="2">(G8+K8)/C8*1000</f>
        <v>1046.8731754470759</v>
      </c>
      <c r="M8" s="87">
        <f t="shared" ref="M8:M19" si="3">F8/C8*1000</f>
        <v>42.737264378927016</v>
      </c>
      <c r="N8" s="54">
        <v>7590.6646099999998</v>
      </c>
      <c r="O8" s="6">
        <v>1108.51297</v>
      </c>
      <c r="P8" s="6">
        <v>40.218420000000002</v>
      </c>
      <c r="Q8" s="6">
        <f>N8+O8+P8</f>
        <v>8739.3959999999988</v>
      </c>
      <c r="R8" s="55">
        <f>Q8/C8*1000</f>
        <v>1055.9927501208313</v>
      </c>
      <c r="S8" s="54">
        <v>3967.5287800000001</v>
      </c>
      <c r="T8" s="48">
        <f>S8/C8*1000</f>
        <v>479.40173755437411</v>
      </c>
      <c r="U8" s="57">
        <f t="shared" ref="U8:U19" si="4">L8</f>
        <v>1046.8731754470759</v>
      </c>
      <c r="V8" s="58">
        <v>190</v>
      </c>
      <c r="W8" s="58">
        <f>R8</f>
        <v>1055.9927501208313</v>
      </c>
      <c r="X8" s="77">
        <f t="shared" ref="X8:X19" si="5">T8</f>
        <v>479.40173755437411</v>
      </c>
    </row>
    <row r="9" spans="1:25" s="7" customFormat="1" ht="25.5" x14ac:dyDescent="0.25">
      <c r="A9" s="45" t="s">
        <v>12</v>
      </c>
      <c r="B9" s="47">
        <v>317</v>
      </c>
      <c r="C9" s="48">
        <v>323</v>
      </c>
      <c r="D9" s="51">
        <f>866.92*1.302</f>
        <v>1128.72984</v>
      </c>
      <c r="E9" s="35">
        <v>195.46614</v>
      </c>
      <c r="F9" s="6">
        <v>22.72456</v>
      </c>
      <c r="G9" s="72">
        <f t="shared" si="0"/>
        <v>1346.9205400000001</v>
      </c>
      <c r="H9" s="72">
        <v>115.021</v>
      </c>
      <c r="I9" s="72">
        <v>756.99494000000004</v>
      </c>
      <c r="J9" s="72">
        <v>207.54138</v>
      </c>
      <c r="K9" s="72">
        <f t="shared" si="1"/>
        <v>1079.5573199999999</v>
      </c>
      <c r="L9" s="86">
        <f t="shared" si="2"/>
        <v>7512.315356037152</v>
      </c>
      <c r="M9" s="87">
        <f t="shared" si="3"/>
        <v>70.354674922600623</v>
      </c>
      <c r="N9" s="47"/>
      <c r="O9" s="6"/>
      <c r="P9" s="6"/>
      <c r="Q9" s="6"/>
      <c r="R9" s="55"/>
      <c r="S9" s="54">
        <v>32.306249999999999</v>
      </c>
      <c r="T9" s="48">
        <f t="shared" ref="T9:T19" si="6">S9/C9*1000</f>
        <v>100.01934984520123</v>
      </c>
      <c r="U9" s="57">
        <f t="shared" si="4"/>
        <v>7512.315356037152</v>
      </c>
      <c r="V9" s="58">
        <v>190</v>
      </c>
      <c r="W9" s="58">
        <f t="shared" ref="W9:W19" si="7">R9</f>
        <v>0</v>
      </c>
      <c r="X9" s="77">
        <f t="shared" si="5"/>
        <v>100.01934984520123</v>
      </c>
    </row>
    <row r="10" spans="1:25" s="7" customFormat="1" ht="25.5" x14ac:dyDescent="0.25">
      <c r="A10" s="45" t="s">
        <v>14</v>
      </c>
      <c r="B10" s="47">
        <v>481</v>
      </c>
      <c r="C10" s="48">
        <v>489</v>
      </c>
      <c r="D10" s="51">
        <f>721.09*1.302</f>
        <v>938.85918000000004</v>
      </c>
      <c r="E10" s="35">
        <v>146.11854</v>
      </c>
      <c r="F10" s="6">
        <v>223.10375999999999</v>
      </c>
      <c r="G10" s="72">
        <f t="shared" si="0"/>
        <v>1308.0814800000001</v>
      </c>
      <c r="H10" s="72">
        <v>241.31333000000001</v>
      </c>
      <c r="I10" s="72">
        <v>0</v>
      </c>
      <c r="J10" s="72">
        <v>320.64436000000001</v>
      </c>
      <c r="K10" s="72">
        <f t="shared" si="1"/>
        <v>561.95768999999996</v>
      </c>
      <c r="L10" s="86">
        <f t="shared" si="2"/>
        <v>3824.2109815950921</v>
      </c>
      <c r="M10" s="87">
        <f t="shared" si="3"/>
        <v>456.24490797546014</v>
      </c>
      <c r="N10" s="47"/>
      <c r="O10" s="6"/>
      <c r="P10" s="6"/>
      <c r="Q10" s="6"/>
      <c r="R10" s="55"/>
      <c r="S10" s="54">
        <v>108.10487000000001</v>
      </c>
      <c r="T10" s="48">
        <f t="shared" si="6"/>
        <v>221.07335378323108</v>
      </c>
      <c r="U10" s="57">
        <f t="shared" si="4"/>
        <v>3824.2109815950921</v>
      </c>
      <c r="V10" s="58">
        <v>190</v>
      </c>
      <c r="W10" s="58">
        <f t="shared" si="7"/>
        <v>0</v>
      </c>
      <c r="X10" s="77">
        <f t="shared" si="5"/>
        <v>221.07335378323108</v>
      </c>
    </row>
    <row r="11" spans="1:25" s="7" customFormat="1" ht="25.5" x14ac:dyDescent="0.25">
      <c r="A11" s="45" t="s">
        <v>15</v>
      </c>
      <c r="B11" s="47">
        <v>850</v>
      </c>
      <c r="C11" s="48">
        <v>865</v>
      </c>
      <c r="D11" s="51">
        <f>974.88*1.302</f>
        <v>1269.29376</v>
      </c>
      <c r="E11" s="35">
        <v>54.468769999999999</v>
      </c>
      <c r="F11" s="6">
        <v>172.82774000000001</v>
      </c>
      <c r="G11" s="72">
        <f t="shared" si="0"/>
        <v>1496.5902699999999</v>
      </c>
      <c r="H11" s="72">
        <v>203.76882000000001</v>
      </c>
      <c r="I11" s="72">
        <v>0</v>
      </c>
      <c r="J11" s="72">
        <v>1.6679999999999999</v>
      </c>
      <c r="K11" s="72">
        <f t="shared" si="1"/>
        <v>205.43682000000001</v>
      </c>
      <c r="L11" s="86">
        <f t="shared" si="2"/>
        <v>1967.6613757225434</v>
      </c>
      <c r="M11" s="87">
        <f t="shared" si="3"/>
        <v>199.80085549132949</v>
      </c>
      <c r="N11" s="47"/>
      <c r="O11" s="6"/>
      <c r="P11" s="6"/>
      <c r="Q11" s="6"/>
      <c r="R11" s="55"/>
      <c r="S11" s="54">
        <v>87.911749999999998</v>
      </c>
      <c r="T11" s="48">
        <f t="shared" si="6"/>
        <v>101.63208092485549</v>
      </c>
      <c r="U11" s="57">
        <f t="shared" si="4"/>
        <v>1967.6613757225434</v>
      </c>
      <c r="V11" s="58">
        <v>190</v>
      </c>
      <c r="W11" s="58">
        <f t="shared" si="7"/>
        <v>0</v>
      </c>
      <c r="X11" s="77">
        <f t="shared" si="5"/>
        <v>101.63208092485549</v>
      </c>
    </row>
    <row r="12" spans="1:25" s="7" customFormat="1" ht="25.5" x14ac:dyDescent="0.25">
      <c r="A12" s="45" t="s">
        <v>16</v>
      </c>
      <c r="B12" s="47">
        <v>240</v>
      </c>
      <c r="C12" s="48">
        <v>244</v>
      </c>
      <c r="D12" s="51">
        <f>603.25*1.302</f>
        <v>785.43150000000003</v>
      </c>
      <c r="E12" s="35">
        <v>151.64383000000001</v>
      </c>
      <c r="F12" s="6">
        <v>88.554990000000004</v>
      </c>
      <c r="G12" s="72">
        <f t="shared" si="0"/>
        <v>1025.63032</v>
      </c>
      <c r="H12" s="72">
        <v>78.065340000000006</v>
      </c>
      <c r="I12" s="72">
        <v>70</v>
      </c>
      <c r="J12" s="72">
        <v>305.60455999999999</v>
      </c>
      <c r="K12" s="72">
        <f t="shared" si="1"/>
        <v>453.66989999999998</v>
      </c>
      <c r="L12" s="86">
        <f t="shared" si="2"/>
        <v>6062.7058196721309</v>
      </c>
      <c r="M12" s="87">
        <f t="shared" si="3"/>
        <v>362.93028688524595</v>
      </c>
      <c r="N12" s="47"/>
      <c r="O12" s="6"/>
      <c r="P12" s="6"/>
      <c r="Q12" s="6"/>
      <c r="R12" s="55"/>
      <c r="S12" s="54">
        <v>85.329669999999993</v>
      </c>
      <c r="T12" s="48">
        <f t="shared" si="6"/>
        <v>349.71176229508194</v>
      </c>
      <c r="U12" s="57">
        <f t="shared" si="4"/>
        <v>6062.7058196721309</v>
      </c>
      <c r="V12" s="58">
        <v>190</v>
      </c>
      <c r="W12" s="58">
        <f t="shared" si="7"/>
        <v>0</v>
      </c>
      <c r="X12" s="77">
        <f t="shared" si="5"/>
        <v>349.71176229508194</v>
      </c>
    </row>
    <row r="13" spans="1:25" s="7" customFormat="1" ht="25.5" x14ac:dyDescent="0.25">
      <c r="A13" s="45" t="s">
        <v>17</v>
      </c>
      <c r="B13" s="47">
        <v>606</v>
      </c>
      <c r="C13" s="48">
        <v>617</v>
      </c>
      <c r="D13" s="51">
        <f>963.85*1.302</f>
        <v>1254.9327000000001</v>
      </c>
      <c r="E13" s="35">
        <v>393.06900999999999</v>
      </c>
      <c r="F13" s="6">
        <v>82.371210000000005</v>
      </c>
      <c r="G13" s="72">
        <f t="shared" si="0"/>
        <v>1730.37292</v>
      </c>
      <c r="H13" s="72">
        <v>119.7808</v>
      </c>
      <c r="I13" s="72">
        <v>460.23700000000002</v>
      </c>
      <c r="J13" s="72">
        <v>360.19200000000001</v>
      </c>
      <c r="K13" s="72">
        <f t="shared" si="1"/>
        <v>940.20980000000009</v>
      </c>
      <c r="L13" s="86">
        <f t="shared" si="2"/>
        <v>4328.3350405186393</v>
      </c>
      <c r="M13" s="87">
        <f t="shared" si="3"/>
        <v>133.50277147487847</v>
      </c>
      <c r="N13" s="47"/>
      <c r="O13" s="6"/>
      <c r="P13" s="6"/>
      <c r="Q13" s="6"/>
      <c r="R13" s="55"/>
      <c r="S13" s="54">
        <v>428.65899999999999</v>
      </c>
      <c r="T13" s="48">
        <f t="shared" si="6"/>
        <v>694.74716369529983</v>
      </c>
      <c r="U13" s="57">
        <f t="shared" si="4"/>
        <v>4328.3350405186393</v>
      </c>
      <c r="V13" s="58">
        <v>190</v>
      </c>
      <c r="W13" s="58">
        <f t="shared" si="7"/>
        <v>0</v>
      </c>
      <c r="X13" s="77">
        <f t="shared" si="5"/>
        <v>694.74716369529983</v>
      </c>
    </row>
    <row r="14" spans="1:25" s="7" customFormat="1" ht="36" customHeight="1" x14ac:dyDescent="0.25">
      <c r="A14" s="45" t="s">
        <v>18</v>
      </c>
      <c r="B14" s="47">
        <v>847</v>
      </c>
      <c r="C14" s="48">
        <v>862</v>
      </c>
      <c r="D14" s="51">
        <f>961.72-1.302</f>
        <v>960.41800000000001</v>
      </c>
      <c r="E14" s="35">
        <v>70.320350000000005</v>
      </c>
      <c r="F14" s="6">
        <v>125.83207</v>
      </c>
      <c r="G14" s="72">
        <f t="shared" si="0"/>
        <v>1156.57042</v>
      </c>
      <c r="H14" s="72">
        <v>162.97415000000001</v>
      </c>
      <c r="I14" s="72">
        <v>0</v>
      </c>
      <c r="J14" s="72">
        <v>54.667999999999999</v>
      </c>
      <c r="K14" s="72">
        <f t="shared" si="1"/>
        <v>217.64215000000002</v>
      </c>
      <c r="L14" s="86">
        <f t="shared" si="2"/>
        <v>1594.2141183294664</v>
      </c>
      <c r="M14" s="87">
        <f t="shared" si="3"/>
        <v>145.97687935034804</v>
      </c>
      <c r="N14" s="47"/>
      <c r="O14" s="6"/>
      <c r="P14" s="6"/>
      <c r="Q14" s="6"/>
      <c r="R14" s="55"/>
      <c r="S14" s="54">
        <v>262.77170999999998</v>
      </c>
      <c r="T14" s="48">
        <f t="shared" si="6"/>
        <v>304.83957076566128</v>
      </c>
      <c r="U14" s="57">
        <f t="shared" si="4"/>
        <v>1594.2141183294664</v>
      </c>
      <c r="V14" s="58">
        <v>190</v>
      </c>
      <c r="W14" s="58">
        <f t="shared" si="7"/>
        <v>0</v>
      </c>
      <c r="X14" s="77">
        <f t="shared" si="5"/>
        <v>304.83957076566128</v>
      </c>
    </row>
    <row r="15" spans="1:25" s="7" customFormat="1" ht="25.5" x14ac:dyDescent="0.25">
      <c r="A15" s="45" t="s">
        <v>19</v>
      </c>
      <c r="B15" s="47">
        <v>1869</v>
      </c>
      <c r="C15" s="48">
        <v>1902</v>
      </c>
      <c r="D15" s="51">
        <f>1090.19*1.302</f>
        <v>1419.4273800000001</v>
      </c>
      <c r="E15" s="35">
        <v>314.90424000000002</v>
      </c>
      <c r="F15" s="6">
        <v>111.39408</v>
      </c>
      <c r="G15" s="72">
        <f t="shared" si="0"/>
        <v>1845.7257000000002</v>
      </c>
      <c r="H15" s="72">
        <v>231.29041000000001</v>
      </c>
      <c r="I15" s="72">
        <v>0</v>
      </c>
      <c r="J15" s="72">
        <v>10.6678</v>
      </c>
      <c r="K15" s="72">
        <f t="shared" si="1"/>
        <v>241.95821000000001</v>
      </c>
      <c r="L15" s="86">
        <f t="shared" si="2"/>
        <v>1097.6256098843323</v>
      </c>
      <c r="M15" s="87">
        <f t="shared" si="3"/>
        <v>58.566813880126183</v>
      </c>
      <c r="N15" s="47"/>
      <c r="O15" s="6"/>
      <c r="P15" s="6"/>
      <c r="Q15" s="6"/>
      <c r="R15" s="55"/>
      <c r="S15" s="54">
        <v>1001.24769</v>
      </c>
      <c r="T15" s="48">
        <f t="shared" si="6"/>
        <v>526.41834384858043</v>
      </c>
      <c r="U15" s="57">
        <f t="shared" si="4"/>
        <v>1097.6256098843323</v>
      </c>
      <c r="V15" s="58">
        <v>190</v>
      </c>
      <c r="W15" s="58">
        <f t="shared" si="7"/>
        <v>0</v>
      </c>
      <c r="X15" s="77">
        <f t="shared" si="5"/>
        <v>526.41834384858043</v>
      </c>
    </row>
    <row r="16" spans="1:25" s="7" customFormat="1" ht="25.5" x14ac:dyDescent="0.25">
      <c r="A16" s="45" t="s">
        <v>24</v>
      </c>
      <c r="B16" s="47">
        <v>1499</v>
      </c>
      <c r="C16" s="48">
        <v>1525</v>
      </c>
      <c r="D16" s="51">
        <f>1311.12*1.302</f>
        <v>1707.0782399999998</v>
      </c>
      <c r="E16" s="35">
        <v>0</v>
      </c>
      <c r="F16" s="6">
        <v>63.930779999999999</v>
      </c>
      <c r="G16" s="72">
        <f t="shared" si="0"/>
        <v>1771.0090199999997</v>
      </c>
      <c r="H16" s="72">
        <v>0</v>
      </c>
      <c r="I16" s="72">
        <v>44.771520000000002</v>
      </c>
      <c r="J16" s="72">
        <v>306.55937999999998</v>
      </c>
      <c r="K16" s="72">
        <f t="shared" si="1"/>
        <v>351.33089999999999</v>
      </c>
      <c r="L16" s="86">
        <f t="shared" si="2"/>
        <v>1391.6983081967212</v>
      </c>
      <c r="M16" s="87">
        <f t="shared" si="3"/>
        <v>41.921822950819667</v>
      </c>
      <c r="N16" s="47"/>
      <c r="O16" s="6"/>
      <c r="P16" s="6"/>
      <c r="Q16" s="6"/>
      <c r="R16" s="55"/>
      <c r="S16" s="54">
        <v>1102.24829</v>
      </c>
      <c r="T16" s="48">
        <f t="shared" si="6"/>
        <v>722.7857639344262</v>
      </c>
      <c r="U16" s="57">
        <f t="shared" si="4"/>
        <v>1391.6983081967212</v>
      </c>
      <c r="V16" s="58">
        <v>190</v>
      </c>
      <c r="W16" s="58">
        <f t="shared" si="7"/>
        <v>0</v>
      </c>
      <c r="X16" s="77">
        <f t="shared" si="5"/>
        <v>722.7857639344262</v>
      </c>
      <c r="Y16" s="56"/>
    </row>
    <row r="17" spans="1:25" s="7" customFormat="1" ht="25.5" x14ac:dyDescent="0.25">
      <c r="A17" s="45" t="s">
        <v>20</v>
      </c>
      <c r="B17" s="47">
        <v>1106</v>
      </c>
      <c r="C17" s="48">
        <v>1125</v>
      </c>
      <c r="D17" s="51">
        <f>1125.66*1.302</f>
        <v>1465.6093200000003</v>
      </c>
      <c r="E17" s="35">
        <v>0</v>
      </c>
      <c r="F17" s="6">
        <v>11.55</v>
      </c>
      <c r="G17" s="72">
        <f t="shared" si="0"/>
        <v>1477.1593200000002</v>
      </c>
      <c r="H17" s="72">
        <v>235.28953999999999</v>
      </c>
      <c r="I17" s="72">
        <v>195.06843000000001</v>
      </c>
      <c r="J17" s="72">
        <v>194.16727</v>
      </c>
      <c r="K17" s="72">
        <f t="shared" si="1"/>
        <v>624.52524000000005</v>
      </c>
      <c r="L17" s="86">
        <f t="shared" si="2"/>
        <v>1868.1640533333334</v>
      </c>
      <c r="M17" s="87">
        <f t="shared" si="3"/>
        <v>10.266666666666667</v>
      </c>
      <c r="N17" s="47"/>
      <c r="O17" s="6"/>
      <c r="P17" s="6"/>
      <c r="Q17" s="6"/>
      <c r="R17" s="55"/>
      <c r="S17" s="54">
        <v>344.86203999999998</v>
      </c>
      <c r="T17" s="48">
        <f t="shared" si="6"/>
        <v>306.54403555555552</v>
      </c>
      <c r="U17" s="57">
        <f t="shared" si="4"/>
        <v>1868.1640533333334</v>
      </c>
      <c r="V17" s="58">
        <v>190</v>
      </c>
      <c r="W17" s="58">
        <f t="shared" si="7"/>
        <v>0</v>
      </c>
      <c r="X17" s="77">
        <f t="shared" si="5"/>
        <v>306.54403555555552</v>
      </c>
      <c r="Y17" s="56"/>
    </row>
    <row r="18" spans="1:25" s="7" customFormat="1" ht="25.5" x14ac:dyDescent="0.25">
      <c r="A18" s="45" t="s">
        <v>21</v>
      </c>
      <c r="B18" s="47">
        <v>1002</v>
      </c>
      <c r="C18" s="48">
        <v>1020</v>
      </c>
      <c r="D18" s="51">
        <f>1108.29*1.302</f>
        <v>1442.9935800000001</v>
      </c>
      <c r="E18" s="35">
        <v>8.5427499999999998</v>
      </c>
      <c r="F18" s="6">
        <v>1.3340000000000001</v>
      </c>
      <c r="G18" s="72">
        <f t="shared" si="0"/>
        <v>1452.8703300000002</v>
      </c>
      <c r="H18" s="72">
        <v>252.30858000000001</v>
      </c>
      <c r="I18" s="72">
        <v>249.96530999999999</v>
      </c>
      <c r="J18" s="72">
        <v>125.56885</v>
      </c>
      <c r="K18" s="72">
        <f t="shared" si="1"/>
        <v>627.84274000000005</v>
      </c>
      <c r="L18" s="86">
        <f t="shared" si="2"/>
        <v>2039.9147745098044</v>
      </c>
      <c r="M18" s="87">
        <f t="shared" si="3"/>
        <v>1.307843137254902</v>
      </c>
      <c r="N18" s="47"/>
      <c r="O18" s="6"/>
      <c r="P18" s="6"/>
      <c r="Q18" s="6"/>
      <c r="R18" s="55"/>
      <c r="S18" s="54">
        <v>393.95616000000001</v>
      </c>
      <c r="T18" s="48">
        <f t="shared" si="6"/>
        <v>386.23152941176471</v>
      </c>
      <c r="U18" s="57">
        <f t="shared" si="4"/>
        <v>2039.9147745098044</v>
      </c>
      <c r="V18" s="58">
        <v>190</v>
      </c>
      <c r="W18" s="58">
        <f t="shared" si="7"/>
        <v>0</v>
      </c>
      <c r="X18" s="77">
        <f t="shared" si="5"/>
        <v>386.23152941176471</v>
      </c>
    </row>
    <row r="19" spans="1:25" s="7" customFormat="1" ht="25.5" x14ac:dyDescent="0.25">
      <c r="A19" s="45" t="s">
        <v>22</v>
      </c>
      <c r="B19" s="47">
        <v>568</v>
      </c>
      <c r="C19" s="48">
        <v>578</v>
      </c>
      <c r="D19" s="51">
        <f>877.89*1.302</f>
        <v>1143.01278</v>
      </c>
      <c r="E19" s="35">
        <v>18.928249999999998</v>
      </c>
      <c r="F19" s="6">
        <v>52.458109999999998</v>
      </c>
      <c r="G19" s="72">
        <f t="shared" si="0"/>
        <v>1214.39914</v>
      </c>
      <c r="H19" s="72">
        <v>254.16654</v>
      </c>
      <c r="I19" s="72">
        <v>68.716549999999998</v>
      </c>
      <c r="J19" s="72">
        <v>183.17241999999999</v>
      </c>
      <c r="K19" s="72">
        <f>H19+I19+J19</f>
        <v>506.05550999999997</v>
      </c>
      <c r="L19" s="86">
        <f>(G19+K19)/C19*1000</f>
        <v>2976.5651384083044</v>
      </c>
      <c r="M19" s="87">
        <f t="shared" si="3"/>
        <v>90.757975778546708</v>
      </c>
      <c r="N19" s="47"/>
      <c r="O19" s="6"/>
      <c r="P19" s="6"/>
      <c r="Q19" s="6"/>
      <c r="R19" s="55"/>
      <c r="S19" s="54">
        <v>231.78707</v>
      </c>
      <c r="T19" s="48">
        <f t="shared" si="6"/>
        <v>401.01569204152247</v>
      </c>
      <c r="U19" s="57">
        <f t="shared" si="4"/>
        <v>2976.5651384083044</v>
      </c>
      <c r="V19" s="58">
        <v>190</v>
      </c>
      <c r="W19" s="58">
        <f t="shared" si="7"/>
        <v>0</v>
      </c>
      <c r="X19" s="77">
        <f t="shared" si="5"/>
        <v>401.01569204152247</v>
      </c>
    </row>
    <row r="20" spans="1:25" s="56" customFormat="1" ht="13.5" thickBot="1" x14ac:dyDescent="0.25">
      <c r="A20" s="46" t="s">
        <v>1</v>
      </c>
      <c r="B20" s="49">
        <f>SUM(B7:B19)</f>
        <v>22601</v>
      </c>
      <c r="C20" s="50">
        <f>SUM(C7:C19)</f>
        <v>22999</v>
      </c>
      <c r="D20" s="62">
        <f>SUM(D7:D19)</f>
        <v>22933.269459999996</v>
      </c>
      <c r="E20" s="63">
        <f t="shared" ref="E20:V20" si="8">SUM(E7:E19)</f>
        <v>1609.9852899999998</v>
      </c>
      <c r="F20" s="63">
        <f t="shared" si="8"/>
        <v>1501.36212</v>
      </c>
      <c r="G20" s="63">
        <f t="shared" si="8"/>
        <v>26044.616870000005</v>
      </c>
      <c r="H20" s="63">
        <f t="shared" si="8"/>
        <v>3569.5316000000003</v>
      </c>
      <c r="I20" s="63">
        <f t="shared" si="8"/>
        <v>2345.36562</v>
      </c>
      <c r="J20" s="63">
        <f t="shared" si="8"/>
        <v>3156.7126300000004</v>
      </c>
      <c r="K20" s="63">
        <f t="shared" si="8"/>
        <v>9071.6098499999989</v>
      </c>
      <c r="L20" s="64">
        <f>(D20+F20)/C20*1000</f>
        <v>1062.4214783251443</v>
      </c>
      <c r="M20" s="50">
        <f>F20/C20*1000</f>
        <v>65.279452150093476</v>
      </c>
      <c r="N20" s="65">
        <f t="shared" si="8"/>
        <v>13694.775979999999</v>
      </c>
      <c r="O20" s="63">
        <f t="shared" si="8"/>
        <v>1896.2673399999999</v>
      </c>
      <c r="P20" s="63">
        <f t="shared" si="8"/>
        <v>57.218420000000002</v>
      </c>
      <c r="Q20" s="63">
        <f t="shared" si="8"/>
        <v>15648.261739999998</v>
      </c>
      <c r="R20" s="66">
        <f>Q20/(C7+C8)*1000</f>
        <v>1163.5260420849131</v>
      </c>
      <c r="S20" s="65">
        <f>SUM(S7:S19)</f>
        <v>9926.16698</v>
      </c>
      <c r="T20" s="66">
        <f>S20/C20*1000</f>
        <v>431.59124222792292</v>
      </c>
      <c r="U20" s="59">
        <f t="shared" si="8"/>
        <v>36641.424014558135</v>
      </c>
      <c r="V20" s="60">
        <f t="shared" si="8"/>
        <v>2470</v>
      </c>
      <c r="W20" s="60">
        <f>SUM(W7:W19)</f>
        <v>2391.5554294171775</v>
      </c>
      <c r="X20" s="61">
        <f>SUM(X7:X19)</f>
        <v>4957.740256070012</v>
      </c>
    </row>
    <row r="21" spans="1:25" x14ac:dyDescent="0.2">
      <c r="X21" s="95">
        <f>AVERAGE(X7:X19)</f>
        <v>381.36463508230861</v>
      </c>
    </row>
    <row r="22" spans="1:25" s="9" customFormat="1" ht="24.75" customHeight="1" x14ac:dyDescent="0.2"/>
    <row r="23" spans="1:25" s="9" customFormat="1" x14ac:dyDescent="0.2"/>
    <row r="24" spans="1:25" s="9" customFormat="1" hidden="1" x14ac:dyDescent="0.2"/>
    <row r="25" spans="1:25" hidden="1" x14ac:dyDescent="0.2"/>
    <row r="26" spans="1:25" ht="12.75" hidden="1" customHeight="1" x14ac:dyDescent="0.2">
      <c r="D26" s="117" t="s">
        <v>25</v>
      </c>
      <c r="E26" s="117"/>
      <c r="F26" s="117"/>
      <c r="G26" s="117"/>
      <c r="H26" s="117"/>
      <c r="I26" s="117"/>
      <c r="J26" s="117"/>
      <c r="K26" s="117"/>
      <c r="L26" s="117"/>
      <c r="M26" s="117"/>
      <c r="N26" s="117"/>
    </row>
    <row r="27" spans="1:25" hidden="1" x14ac:dyDescent="0.2"/>
    <row r="28" spans="1:25" s="3" customFormat="1" ht="12.75" hidden="1" customHeight="1" x14ac:dyDescent="0.2">
      <c r="A28" s="96" t="s">
        <v>0</v>
      </c>
      <c r="B28" s="40"/>
      <c r="C28" s="40"/>
      <c r="D28" s="96" t="s">
        <v>2</v>
      </c>
      <c r="E28" s="96"/>
      <c r="F28" s="96"/>
      <c r="G28" s="96"/>
      <c r="H28" s="89"/>
      <c r="I28" s="91"/>
      <c r="J28" s="91"/>
      <c r="K28" s="89"/>
      <c r="L28" s="40"/>
      <c r="M28" s="40"/>
      <c r="N28" s="96" t="s">
        <v>4</v>
      </c>
      <c r="O28" s="96"/>
      <c r="P28" s="96"/>
      <c r="Q28" s="96" t="s">
        <v>7</v>
      </c>
      <c r="R28" s="40"/>
      <c r="S28" s="40"/>
      <c r="T28" s="40"/>
      <c r="U28" s="96"/>
      <c r="V28" s="96"/>
      <c r="W28" s="40" t="s">
        <v>7</v>
      </c>
      <c r="X28" s="96" t="s">
        <v>11</v>
      </c>
    </row>
    <row r="29" spans="1:25" s="3" customFormat="1" ht="12.75" hidden="1" customHeight="1" x14ac:dyDescent="0.2">
      <c r="A29" s="96"/>
      <c r="B29" s="42"/>
      <c r="C29" s="42"/>
      <c r="D29" s="97" t="s">
        <v>5</v>
      </c>
      <c r="E29" s="41" t="s">
        <v>9</v>
      </c>
      <c r="F29" s="98" t="s">
        <v>3</v>
      </c>
      <c r="G29" s="97" t="s">
        <v>8</v>
      </c>
      <c r="H29" s="90"/>
      <c r="I29" s="92"/>
      <c r="J29" s="92"/>
      <c r="K29" s="90"/>
      <c r="L29" s="42"/>
      <c r="M29" s="42"/>
      <c r="N29" s="97" t="s">
        <v>5</v>
      </c>
      <c r="O29" s="41" t="s">
        <v>9</v>
      </c>
      <c r="P29" s="98" t="s">
        <v>3</v>
      </c>
      <c r="Q29" s="97" t="s">
        <v>8</v>
      </c>
      <c r="R29" s="42"/>
      <c r="S29" s="42"/>
      <c r="T29" s="42"/>
      <c r="U29" s="97" t="s">
        <v>9</v>
      </c>
      <c r="V29" s="97" t="s">
        <v>8</v>
      </c>
      <c r="W29" s="97" t="s">
        <v>8</v>
      </c>
      <c r="X29" s="96"/>
    </row>
    <row r="30" spans="1:25" s="3" customFormat="1" ht="25.5" hidden="1" customHeight="1" x14ac:dyDescent="0.2">
      <c r="A30" s="96"/>
      <c r="B30" s="41"/>
      <c r="C30" s="41"/>
      <c r="D30" s="98"/>
      <c r="E30" s="4" t="s">
        <v>6</v>
      </c>
      <c r="F30" s="96"/>
      <c r="G30" s="98"/>
      <c r="H30" s="88"/>
      <c r="I30" s="93"/>
      <c r="J30" s="93"/>
      <c r="K30" s="88"/>
      <c r="L30" s="41"/>
      <c r="M30" s="41"/>
      <c r="N30" s="98"/>
      <c r="O30" s="4" t="s">
        <v>6</v>
      </c>
      <c r="P30" s="96"/>
      <c r="Q30" s="98"/>
      <c r="R30" s="41"/>
      <c r="S30" s="41"/>
      <c r="T30" s="41"/>
      <c r="U30" s="98"/>
      <c r="V30" s="98"/>
      <c r="W30" s="98"/>
      <c r="X30" s="96"/>
    </row>
    <row r="31" spans="1:25" s="3" customFormat="1" hidden="1" x14ac:dyDescent="0.2">
      <c r="A31" s="5">
        <v>1</v>
      </c>
      <c r="B31" s="40"/>
      <c r="C31" s="40"/>
      <c r="D31" s="5">
        <v>2</v>
      </c>
      <c r="E31" s="5">
        <v>3</v>
      </c>
      <c r="F31" s="5">
        <v>5</v>
      </c>
      <c r="G31" s="5">
        <v>6</v>
      </c>
      <c r="H31" s="89"/>
      <c r="I31" s="91"/>
      <c r="J31" s="91"/>
      <c r="K31" s="89"/>
      <c r="L31" s="40"/>
      <c r="M31" s="40"/>
      <c r="N31" s="5">
        <v>7</v>
      </c>
      <c r="O31" s="5">
        <v>8</v>
      </c>
      <c r="P31" s="5">
        <v>10</v>
      </c>
      <c r="Q31" s="5">
        <v>11</v>
      </c>
      <c r="R31" s="40"/>
      <c r="S31" s="40"/>
      <c r="T31" s="40"/>
      <c r="U31" s="5">
        <v>13</v>
      </c>
      <c r="V31" s="5">
        <v>14</v>
      </c>
      <c r="W31" s="5">
        <v>30</v>
      </c>
      <c r="X31" s="5">
        <v>20</v>
      </c>
    </row>
    <row r="32" spans="1:25" s="7" customFormat="1" ht="25.5" hidden="1" x14ac:dyDescent="0.2">
      <c r="A32" s="6" t="s">
        <v>13</v>
      </c>
      <c r="B32" s="6"/>
      <c r="C32" s="6"/>
      <c r="D32" s="6"/>
      <c r="E32" s="6"/>
      <c r="F32" s="6"/>
      <c r="G32" s="6" t="e">
        <f>D32+E32+#REF!+F32</f>
        <v>#REF!</v>
      </c>
      <c r="H32" s="6"/>
      <c r="I32" s="6"/>
      <c r="J32" s="6"/>
      <c r="K32" s="6"/>
      <c r="L32" s="6"/>
      <c r="M32" s="6"/>
      <c r="N32" s="6"/>
      <c r="O32" s="6"/>
      <c r="P32" s="6"/>
      <c r="Q32" s="6" t="e">
        <f>N32+O32+#REF!+P32</f>
        <v>#REF!</v>
      </c>
      <c r="R32" s="6"/>
      <c r="S32" s="6"/>
      <c r="T32" s="6"/>
      <c r="U32" s="6"/>
      <c r="V32" s="6">
        <f t="shared" ref="V32:V44" si="9">SUM(U32:U32)</f>
        <v>0</v>
      </c>
      <c r="W32" s="6" t="e">
        <f>SUM(#REF!)</f>
        <v>#REF!</v>
      </c>
      <c r="X32" s="6" t="e">
        <f>SUM(#REF!,W32)</f>
        <v>#REF!</v>
      </c>
    </row>
    <row r="33" spans="1:24" s="7" customFormat="1" ht="25.5" hidden="1" x14ac:dyDescent="0.2">
      <c r="A33" s="6" t="s">
        <v>23</v>
      </c>
      <c r="B33" s="6"/>
      <c r="C33" s="6"/>
      <c r="D33" s="6"/>
      <c r="E33" s="6"/>
      <c r="F33" s="6"/>
      <c r="G33" s="6" t="e">
        <f>D33+E33+#REF!+F33</f>
        <v>#REF!</v>
      </c>
      <c r="H33" s="6"/>
      <c r="I33" s="6"/>
      <c r="J33" s="6"/>
      <c r="K33" s="6"/>
      <c r="L33" s="6"/>
      <c r="M33" s="6"/>
      <c r="N33" s="6"/>
      <c r="O33" s="6"/>
      <c r="P33" s="6"/>
      <c r="Q33" s="6" t="e">
        <f>N33+O33+#REF!+P33</f>
        <v>#REF!</v>
      </c>
      <c r="R33" s="6"/>
      <c r="S33" s="6"/>
      <c r="T33" s="6"/>
      <c r="U33" s="6"/>
      <c r="V33" s="6">
        <f t="shared" si="9"/>
        <v>0</v>
      </c>
      <c r="W33" s="6" t="e">
        <f>SUM(#REF!)</f>
        <v>#REF!</v>
      </c>
      <c r="X33" s="6" t="e">
        <f>SUM(#REF!,W33)</f>
        <v>#REF!</v>
      </c>
    </row>
    <row r="34" spans="1:24" s="7" customFormat="1" ht="25.5" hidden="1" x14ac:dyDescent="0.2">
      <c r="A34" s="6" t="s">
        <v>12</v>
      </c>
      <c r="B34" s="6"/>
      <c r="C34" s="6"/>
      <c r="D34" s="6"/>
      <c r="E34" s="6"/>
      <c r="F34" s="6"/>
      <c r="G34" s="6" t="e">
        <f>D34+E34+#REF!+F34</f>
        <v>#REF!</v>
      </c>
      <c r="H34" s="6"/>
      <c r="I34" s="6"/>
      <c r="J34" s="6"/>
      <c r="K34" s="6"/>
      <c r="L34" s="6"/>
      <c r="M34" s="6"/>
      <c r="N34" s="6"/>
      <c r="O34" s="6"/>
      <c r="P34" s="6"/>
      <c r="Q34" s="6" t="e">
        <f>N34+O34+#REF!+P34</f>
        <v>#REF!</v>
      </c>
      <c r="R34" s="6"/>
      <c r="S34" s="6"/>
      <c r="T34" s="6"/>
      <c r="U34" s="6"/>
      <c r="V34" s="6">
        <f t="shared" si="9"/>
        <v>0</v>
      </c>
      <c r="W34" s="6" t="e">
        <f>SUM(#REF!)</f>
        <v>#REF!</v>
      </c>
      <c r="X34" s="6" t="e">
        <f>SUM(#REF!,W34)</f>
        <v>#REF!</v>
      </c>
    </row>
    <row r="35" spans="1:24" s="7" customFormat="1" ht="25.5" hidden="1" x14ac:dyDescent="0.2">
      <c r="A35" s="6" t="s">
        <v>14</v>
      </c>
      <c r="B35" s="6"/>
      <c r="C35" s="6"/>
      <c r="D35" s="6"/>
      <c r="E35" s="6"/>
      <c r="F35" s="6"/>
      <c r="G35" s="6" t="e">
        <f>D35+E35+#REF!+F35</f>
        <v>#REF!</v>
      </c>
      <c r="H35" s="6"/>
      <c r="I35" s="6"/>
      <c r="J35" s="6"/>
      <c r="K35" s="6"/>
      <c r="L35" s="6"/>
      <c r="M35" s="6"/>
      <c r="N35" s="6"/>
      <c r="O35" s="6"/>
      <c r="P35" s="6"/>
      <c r="Q35" s="6" t="e">
        <f>N35+O35+#REF!+P35</f>
        <v>#REF!</v>
      </c>
      <c r="R35" s="6"/>
      <c r="S35" s="6"/>
      <c r="T35" s="6"/>
      <c r="U35" s="6"/>
      <c r="V35" s="6">
        <f t="shared" si="9"/>
        <v>0</v>
      </c>
      <c r="W35" s="6" t="e">
        <f>SUM(#REF!)</f>
        <v>#REF!</v>
      </c>
      <c r="X35" s="6" t="e">
        <f>SUM(#REF!,W35)</f>
        <v>#REF!</v>
      </c>
    </row>
    <row r="36" spans="1:24" s="7" customFormat="1" ht="25.5" hidden="1" x14ac:dyDescent="0.2">
      <c r="A36" s="6" t="s">
        <v>15</v>
      </c>
      <c r="B36" s="6"/>
      <c r="C36" s="6"/>
      <c r="D36" s="6"/>
      <c r="E36" s="6"/>
      <c r="F36" s="6"/>
      <c r="G36" s="6" t="e">
        <f>D36+E36+#REF!+F36</f>
        <v>#REF!</v>
      </c>
      <c r="H36" s="6"/>
      <c r="I36" s="6"/>
      <c r="J36" s="6"/>
      <c r="K36" s="6"/>
      <c r="L36" s="6"/>
      <c r="M36" s="6"/>
      <c r="N36" s="6"/>
      <c r="O36" s="6"/>
      <c r="P36" s="6"/>
      <c r="Q36" s="6" t="e">
        <f>N36+O36+#REF!+P36</f>
        <v>#REF!</v>
      </c>
      <c r="R36" s="6"/>
      <c r="S36" s="6"/>
      <c r="T36" s="6"/>
      <c r="U36" s="6"/>
      <c r="V36" s="6">
        <f t="shared" si="9"/>
        <v>0</v>
      </c>
      <c r="W36" s="6" t="e">
        <f>SUM(#REF!)</f>
        <v>#REF!</v>
      </c>
      <c r="X36" s="6" t="e">
        <f>SUM(#REF!,W36)</f>
        <v>#REF!</v>
      </c>
    </row>
    <row r="37" spans="1:24" s="7" customFormat="1" ht="25.5" hidden="1" x14ac:dyDescent="0.2">
      <c r="A37" s="6" t="s">
        <v>16</v>
      </c>
      <c r="B37" s="6"/>
      <c r="C37" s="6"/>
      <c r="D37" s="6"/>
      <c r="E37" s="6"/>
      <c r="F37" s="6"/>
      <c r="G37" s="6" t="e">
        <f>D37+E37+#REF!+F37</f>
        <v>#REF!</v>
      </c>
      <c r="H37" s="6"/>
      <c r="I37" s="6"/>
      <c r="J37" s="6"/>
      <c r="K37" s="6"/>
      <c r="L37" s="6"/>
      <c r="M37" s="6"/>
      <c r="N37" s="6"/>
      <c r="O37" s="6"/>
      <c r="P37" s="6"/>
      <c r="Q37" s="6" t="e">
        <f>N37+O37+#REF!+P37</f>
        <v>#REF!</v>
      </c>
      <c r="R37" s="6"/>
      <c r="S37" s="6"/>
      <c r="T37" s="6"/>
      <c r="U37" s="6"/>
      <c r="V37" s="6">
        <f t="shared" si="9"/>
        <v>0</v>
      </c>
      <c r="W37" s="6" t="e">
        <f>SUM(#REF!)</f>
        <v>#REF!</v>
      </c>
      <c r="X37" s="6" t="e">
        <f>SUM(#REF!,W37)</f>
        <v>#REF!</v>
      </c>
    </row>
    <row r="38" spans="1:24" s="7" customFormat="1" ht="25.5" hidden="1" x14ac:dyDescent="0.2">
      <c r="A38" s="6" t="s">
        <v>17</v>
      </c>
      <c r="B38" s="6"/>
      <c r="C38" s="6"/>
      <c r="D38" s="6"/>
      <c r="E38" s="6"/>
      <c r="F38" s="6"/>
      <c r="G38" s="6" t="e">
        <f>D38+E38+#REF!+F38</f>
        <v>#REF!</v>
      </c>
      <c r="H38" s="6"/>
      <c r="I38" s="6"/>
      <c r="J38" s="6"/>
      <c r="K38" s="6"/>
      <c r="L38" s="6"/>
      <c r="M38" s="6"/>
      <c r="N38" s="6"/>
      <c r="O38" s="6"/>
      <c r="P38" s="6"/>
      <c r="Q38" s="6" t="e">
        <f>N38+O38+#REF!+P38</f>
        <v>#REF!</v>
      </c>
      <c r="R38" s="6"/>
      <c r="S38" s="6"/>
      <c r="T38" s="6"/>
      <c r="U38" s="6"/>
      <c r="V38" s="6">
        <f t="shared" si="9"/>
        <v>0</v>
      </c>
      <c r="W38" s="6" t="e">
        <f>SUM(#REF!)</f>
        <v>#REF!</v>
      </c>
      <c r="X38" s="6" t="e">
        <f>SUM(#REF!,W38)</f>
        <v>#REF!</v>
      </c>
    </row>
    <row r="39" spans="1:24" s="7" customFormat="1" ht="25.5" hidden="1" x14ac:dyDescent="0.2">
      <c r="A39" s="6" t="s">
        <v>18</v>
      </c>
      <c r="B39" s="6"/>
      <c r="C39" s="6"/>
      <c r="D39" s="6"/>
      <c r="E39" s="6"/>
      <c r="F39" s="6"/>
      <c r="G39" s="6" t="e">
        <f>D39+E39+#REF!+F39</f>
        <v>#REF!</v>
      </c>
      <c r="H39" s="6"/>
      <c r="I39" s="6"/>
      <c r="J39" s="6"/>
      <c r="K39" s="6"/>
      <c r="L39" s="6"/>
      <c r="M39" s="6"/>
      <c r="N39" s="6"/>
      <c r="O39" s="6"/>
      <c r="P39" s="6"/>
      <c r="Q39" s="6" t="e">
        <f>N39+O39+#REF!+P39</f>
        <v>#REF!</v>
      </c>
      <c r="R39" s="6"/>
      <c r="S39" s="6"/>
      <c r="T39" s="6"/>
      <c r="U39" s="6"/>
      <c r="V39" s="6">
        <f t="shared" si="9"/>
        <v>0</v>
      </c>
      <c r="W39" s="6" t="e">
        <f>SUM(#REF!)</f>
        <v>#REF!</v>
      </c>
      <c r="X39" s="6" t="e">
        <f>SUM(#REF!,W39)</f>
        <v>#REF!</v>
      </c>
    </row>
    <row r="40" spans="1:24" s="7" customFormat="1" ht="25.5" hidden="1" x14ac:dyDescent="0.2">
      <c r="A40" s="6" t="s">
        <v>19</v>
      </c>
      <c r="B40" s="6"/>
      <c r="C40" s="6"/>
      <c r="D40" s="6"/>
      <c r="E40" s="6"/>
      <c r="F40" s="6"/>
      <c r="G40" s="6" t="e">
        <f>D40+E40+#REF!+F40</f>
        <v>#REF!</v>
      </c>
      <c r="H40" s="6"/>
      <c r="I40" s="6"/>
      <c r="J40" s="6"/>
      <c r="K40" s="6"/>
      <c r="L40" s="6"/>
      <c r="M40" s="6"/>
      <c r="N40" s="6"/>
      <c r="O40" s="6"/>
      <c r="P40" s="6"/>
      <c r="Q40" s="6" t="e">
        <f>N40+O40+#REF!+P40</f>
        <v>#REF!</v>
      </c>
      <c r="R40" s="6"/>
      <c r="S40" s="6"/>
      <c r="T40" s="6"/>
      <c r="U40" s="6"/>
      <c r="V40" s="6">
        <f t="shared" si="9"/>
        <v>0</v>
      </c>
      <c r="W40" s="6" t="e">
        <f>SUM(#REF!)</f>
        <v>#REF!</v>
      </c>
      <c r="X40" s="6" t="e">
        <f>SUM(#REF!,W40)</f>
        <v>#REF!</v>
      </c>
    </row>
    <row r="41" spans="1:24" s="7" customFormat="1" ht="25.5" hidden="1" x14ac:dyDescent="0.2">
      <c r="A41" s="6" t="s">
        <v>24</v>
      </c>
      <c r="B41" s="6"/>
      <c r="C41" s="6"/>
      <c r="D41" s="6"/>
      <c r="E41" s="6"/>
      <c r="F41" s="6"/>
      <c r="G41" s="6" t="e">
        <f>D41+E41+#REF!+F41</f>
        <v>#REF!</v>
      </c>
      <c r="H41" s="6"/>
      <c r="I41" s="6"/>
      <c r="J41" s="6"/>
      <c r="K41" s="6"/>
      <c r="L41" s="6"/>
      <c r="M41" s="6"/>
      <c r="N41" s="6"/>
      <c r="O41" s="6"/>
      <c r="P41" s="6"/>
      <c r="Q41" s="6" t="e">
        <f>N41+O41+#REF!+P41</f>
        <v>#REF!</v>
      </c>
      <c r="R41" s="6"/>
      <c r="S41" s="6"/>
      <c r="T41" s="6"/>
      <c r="U41" s="6"/>
      <c r="V41" s="6">
        <f t="shared" si="9"/>
        <v>0</v>
      </c>
      <c r="W41" s="6" t="e">
        <f>SUM(#REF!)</f>
        <v>#REF!</v>
      </c>
      <c r="X41" s="6" t="e">
        <f>SUM(#REF!,W41)</f>
        <v>#REF!</v>
      </c>
    </row>
    <row r="42" spans="1:24" s="7" customFormat="1" ht="25.5" hidden="1" x14ac:dyDescent="0.2">
      <c r="A42" s="6" t="s">
        <v>20</v>
      </c>
      <c r="B42" s="6"/>
      <c r="C42" s="6"/>
      <c r="D42" s="6"/>
      <c r="E42" s="6"/>
      <c r="F42" s="6"/>
      <c r="G42" s="6" t="e">
        <f>D42+E42+#REF!+F42</f>
        <v>#REF!</v>
      </c>
      <c r="H42" s="6"/>
      <c r="I42" s="6"/>
      <c r="J42" s="6"/>
      <c r="K42" s="6"/>
      <c r="L42" s="6"/>
      <c r="M42" s="6"/>
      <c r="N42" s="6"/>
      <c r="O42" s="6"/>
      <c r="P42" s="6"/>
      <c r="Q42" s="6" t="e">
        <f>N42+O42+#REF!+P42</f>
        <v>#REF!</v>
      </c>
      <c r="R42" s="6"/>
      <c r="S42" s="6"/>
      <c r="T42" s="6"/>
      <c r="U42" s="6"/>
      <c r="V42" s="6">
        <f t="shared" si="9"/>
        <v>0</v>
      </c>
      <c r="W42" s="6" t="e">
        <f>SUM(#REF!)</f>
        <v>#REF!</v>
      </c>
      <c r="X42" s="6" t="e">
        <f>SUM(#REF!,W42)</f>
        <v>#REF!</v>
      </c>
    </row>
    <row r="43" spans="1:24" s="7" customFormat="1" ht="25.5" hidden="1" x14ac:dyDescent="0.2">
      <c r="A43" s="6" t="s">
        <v>21</v>
      </c>
      <c r="B43" s="6"/>
      <c r="C43" s="6"/>
      <c r="D43" s="6"/>
      <c r="E43" s="6"/>
      <c r="F43" s="6"/>
      <c r="G43" s="6" t="e">
        <f>D43+E43+#REF!+F43</f>
        <v>#REF!</v>
      </c>
      <c r="H43" s="6"/>
      <c r="I43" s="6"/>
      <c r="J43" s="6"/>
      <c r="K43" s="6"/>
      <c r="L43" s="6"/>
      <c r="M43" s="6"/>
      <c r="N43" s="6"/>
      <c r="O43" s="6"/>
      <c r="P43" s="6"/>
      <c r="Q43" s="6" t="e">
        <f>N43+O43+#REF!+P43</f>
        <v>#REF!</v>
      </c>
      <c r="R43" s="6"/>
      <c r="S43" s="6"/>
      <c r="T43" s="6"/>
      <c r="U43" s="6"/>
      <c r="V43" s="6">
        <f t="shared" si="9"/>
        <v>0</v>
      </c>
      <c r="W43" s="6" t="e">
        <f>SUM(#REF!)</f>
        <v>#REF!</v>
      </c>
      <c r="X43" s="6" t="e">
        <f>SUM(#REF!,W43)</f>
        <v>#REF!</v>
      </c>
    </row>
    <row r="44" spans="1:24" s="7" customFormat="1" ht="25.5" hidden="1" x14ac:dyDescent="0.2">
      <c r="A44" s="6" t="s">
        <v>22</v>
      </c>
      <c r="B44" s="6"/>
      <c r="C44" s="6"/>
      <c r="D44" s="6"/>
      <c r="E44" s="6"/>
      <c r="F44" s="6"/>
      <c r="G44" s="6" t="e">
        <f>D44+E44+#REF!+F44</f>
        <v>#REF!</v>
      </c>
      <c r="H44" s="6"/>
      <c r="I44" s="6"/>
      <c r="J44" s="6"/>
      <c r="K44" s="6"/>
      <c r="L44" s="6"/>
      <c r="M44" s="6"/>
      <c r="N44" s="6"/>
      <c r="O44" s="6"/>
      <c r="P44" s="6"/>
      <c r="Q44" s="6" t="e">
        <f>N44+O44+#REF!+P44</f>
        <v>#REF!</v>
      </c>
      <c r="R44" s="6"/>
      <c r="S44" s="6"/>
      <c r="T44" s="6"/>
      <c r="U44" s="6"/>
      <c r="V44" s="6">
        <f t="shared" si="9"/>
        <v>0</v>
      </c>
      <c r="W44" s="6" t="e">
        <f>SUM(#REF!)</f>
        <v>#REF!</v>
      </c>
      <c r="X44" s="6" t="e">
        <f>SUM(#REF!,W44)</f>
        <v>#REF!</v>
      </c>
    </row>
    <row r="45" spans="1:24" s="7" customFormat="1" hidden="1" x14ac:dyDescent="0.2">
      <c r="A45" s="8" t="s">
        <v>1</v>
      </c>
      <c r="B45" s="8"/>
      <c r="C45" s="8"/>
      <c r="D45" s="6">
        <f>SUM(D32:D44)</f>
        <v>0</v>
      </c>
      <c r="E45" s="6">
        <f t="shared" ref="E45:X45" si="10">SUM(E32:E44)</f>
        <v>0</v>
      </c>
      <c r="F45" s="6">
        <f t="shared" si="10"/>
        <v>0</v>
      </c>
      <c r="G45" s="6" t="e">
        <f t="shared" si="10"/>
        <v>#REF!</v>
      </c>
      <c r="H45" s="6"/>
      <c r="I45" s="6"/>
      <c r="J45" s="6"/>
      <c r="K45" s="6"/>
      <c r="L45" s="6"/>
      <c r="M45" s="6"/>
      <c r="N45" s="6">
        <f t="shared" si="10"/>
        <v>0</v>
      </c>
      <c r="O45" s="6">
        <f t="shared" si="10"/>
        <v>0</v>
      </c>
      <c r="P45" s="6">
        <f t="shared" si="10"/>
        <v>0</v>
      </c>
      <c r="Q45" s="6" t="e">
        <f t="shared" si="10"/>
        <v>#REF!</v>
      </c>
      <c r="R45" s="6"/>
      <c r="S45" s="6"/>
      <c r="T45" s="6"/>
      <c r="U45" s="6">
        <f t="shared" si="10"/>
        <v>0</v>
      </c>
      <c r="V45" s="6">
        <f t="shared" si="10"/>
        <v>0</v>
      </c>
      <c r="W45" s="6" t="e">
        <f t="shared" si="10"/>
        <v>#REF!</v>
      </c>
      <c r="X45" s="6" t="e">
        <f t="shared" si="10"/>
        <v>#REF!</v>
      </c>
    </row>
  </sheetData>
  <mergeCells count="39">
    <mergeCell ref="A1:W1"/>
    <mergeCell ref="D26:N26"/>
    <mergeCell ref="D4:D5"/>
    <mergeCell ref="F4:F5"/>
    <mergeCell ref="N4:N5"/>
    <mergeCell ref="A3:A5"/>
    <mergeCell ref="S4:S5"/>
    <mergeCell ref="N3:R3"/>
    <mergeCell ref="S3:T3"/>
    <mergeCell ref="B3:B5"/>
    <mergeCell ref="H4:K4"/>
    <mergeCell ref="W4:W5"/>
    <mergeCell ref="U4:V5"/>
    <mergeCell ref="A28:A30"/>
    <mergeCell ref="D28:G28"/>
    <mergeCell ref="N28:Q28"/>
    <mergeCell ref="U28:V28"/>
    <mergeCell ref="G4:G5"/>
    <mergeCell ref="Q4:Q5"/>
    <mergeCell ref="M4:M5"/>
    <mergeCell ref="O4:O5"/>
    <mergeCell ref="P4:P5"/>
    <mergeCell ref="T4:T5"/>
    <mergeCell ref="C3:C5"/>
    <mergeCell ref="E4:E5"/>
    <mergeCell ref="D3:M3"/>
    <mergeCell ref="L4:L5"/>
    <mergeCell ref="U3:X3"/>
    <mergeCell ref="X4:X5"/>
    <mergeCell ref="X28:X30"/>
    <mergeCell ref="D29:D30"/>
    <mergeCell ref="F29:F30"/>
    <mergeCell ref="G29:G30"/>
    <mergeCell ref="N29:N30"/>
    <mergeCell ref="P29:P30"/>
    <mergeCell ref="W29:W30"/>
    <mergeCell ref="Q29:Q30"/>
    <mergeCell ref="U29:U30"/>
    <mergeCell ref="V29:V30"/>
  </mergeCells>
  <pageMargins left="0.74803149606299213" right="0.74803149606299213" top="0.98425196850393704" bottom="0.23622047244094491" header="0.51181102362204722" footer="0.23622047244094491"/>
  <pageSetup paperSize="9" scale="48" fitToHeight="0" orientation="landscape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zoomScale="120" zoomScaleNormal="120" workbookViewId="0">
      <selection activeCell="K20" sqref="K20"/>
    </sheetView>
  </sheetViews>
  <sheetFormatPr defaultColWidth="9.140625" defaultRowHeight="12.75" x14ac:dyDescent="0.2"/>
  <cols>
    <col min="1" max="1" width="41" style="33" customWidth="1"/>
    <col min="2" max="2" width="10.5703125" style="34" customWidth="1"/>
    <col min="3" max="3" width="9.140625" style="34" customWidth="1"/>
    <col min="4" max="4" width="16.7109375" style="34" customWidth="1"/>
    <col min="5" max="5" width="13.140625" style="34" customWidth="1"/>
    <col min="6" max="6" width="11" style="34" customWidth="1"/>
    <col min="7" max="7" width="10.140625" style="34" customWidth="1"/>
    <col min="8" max="8" width="11" style="34" customWidth="1"/>
    <col min="9" max="9" width="12" style="34" customWidth="1"/>
    <col min="10" max="10" width="13.7109375" style="34" customWidth="1"/>
    <col min="11" max="11" width="10.42578125" style="34" customWidth="1"/>
    <col min="12" max="12" width="9.140625" style="34"/>
    <col min="13" max="13" width="11" style="34" customWidth="1"/>
    <col min="14" max="16384" width="9.140625" style="34"/>
  </cols>
  <sheetData>
    <row r="1" spans="1:16" s="10" customFormat="1" ht="15.75" x14ac:dyDescent="0.25">
      <c r="A1" s="143" t="s">
        <v>27</v>
      </c>
      <c r="B1" s="143"/>
      <c r="C1" s="143"/>
      <c r="D1" s="143"/>
      <c r="E1" s="143"/>
      <c r="F1" s="143"/>
      <c r="G1" s="143"/>
      <c r="H1" s="143"/>
      <c r="I1" s="143"/>
    </row>
    <row r="2" spans="1:16" s="10" customFormat="1" ht="15.75" x14ac:dyDescent="0.25">
      <c r="A2" s="143" t="s">
        <v>28</v>
      </c>
      <c r="B2" s="143"/>
      <c r="C2" s="143"/>
      <c r="D2" s="143"/>
      <c r="E2" s="143"/>
      <c r="F2" s="143"/>
      <c r="G2" s="143"/>
      <c r="H2" s="143"/>
      <c r="I2" s="143"/>
    </row>
    <row r="3" spans="1:16" s="10" customFormat="1" ht="15.75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6" s="10" customFormat="1" ht="15.75" x14ac:dyDescent="0.25">
      <c r="A4" s="144" t="s">
        <v>63</v>
      </c>
      <c r="B4" s="144"/>
      <c r="C4" s="144"/>
      <c r="D4" s="144"/>
      <c r="E4" s="144"/>
      <c r="F4" s="144"/>
      <c r="G4" s="144"/>
      <c r="H4" s="144"/>
      <c r="I4" s="144"/>
    </row>
    <row r="5" spans="1:16" s="10" customFormat="1" ht="7.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6" s="10" customFormat="1" ht="15.75" hidden="1" x14ac:dyDescent="0.25">
      <c r="A6" s="11"/>
      <c r="B6" s="145"/>
      <c r="C6" s="145"/>
      <c r="D6" s="145"/>
      <c r="E6" s="145"/>
      <c r="F6" s="145"/>
      <c r="G6" s="145"/>
      <c r="H6" s="44"/>
      <c r="I6" s="44"/>
      <c r="J6" s="44"/>
      <c r="K6" s="44"/>
    </row>
    <row r="7" spans="1:16" s="13" customFormat="1" ht="43.5" customHeight="1" x14ac:dyDescent="0.2">
      <c r="A7" s="12" t="s">
        <v>29</v>
      </c>
      <c r="B7" s="139" t="s">
        <v>30</v>
      </c>
      <c r="C7" s="140"/>
      <c r="D7" s="139" t="s">
        <v>56</v>
      </c>
      <c r="E7" s="140"/>
      <c r="F7" s="141" t="s">
        <v>31</v>
      </c>
      <c r="G7" s="142"/>
      <c r="H7" s="139" t="s">
        <v>26</v>
      </c>
      <c r="I7" s="140"/>
      <c r="J7" s="136" t="s">
        <v>32</v>
      </c>
      <c r="K7" s="136" t="s">
        <v>33</v>
      </c>
    </row>
    <row r="8" spans="1:16" s="13" customFormat="1" ht="11.25" x14ac:dyDescent="0.2">
      <c r="A8" s="12" t="s">
        <v>34</v>
      </c>
      <c r="B8" s="139">
        <v>0.17</v>
      </c>
      <c r="C8" s="140"/>
      <c r="D8" s="139">
        <v>0.14000000000000001</v>
      </c>
      <c r="E8" s="140"/>
      <c r="F8" s="141">
        <v>0.65</v>
      </c>
      <c r="G8" s="142"/>
      <c r="H8" s="139">
        <v>0.04</v>
      </c>
      <c r="I8" s="140"/>
      <c r="J8" s="137"/>
      <c r="K8" s="137"/>
    </row>
    <row r="9" spans="1:16" s="13" customFormat="1" ht="154.5" customHeight="1" x14ac:dyDescent="0.2">
      <c r="A9" s="14" t="s">
        <v>35</v>
      </c>
      <c r="B9" s="14" t="s">
        <v>36</v>
      </c>
      <c r="C9" s="14" t="s">
        <v>37</v>
      </c>
      <c r="D9" s="14" t="s">
        <v>62</v>
      </c>
      <c r="E9" s="14" t="s">
        <v>37</v>
      </c>
      <c r="F9" s="36" t="s">
        <v>38</v>
      </c>
      <c r="G9" s="36" t="s">
        <v>37</v>
      </c>
      <c r="H9" s="14" t="s">
        <v>38</v>
      </c>
      <c r="I9" s="14" t="s">
        <v>37</v>
      </c>
      <c r="J9" s="138"/>
      <c r="K9" s="138"/>
      <c r="M9" s="15"/>
      <c r="N9" s="16"/>
      <c r="O9" s="16"/>
    </row>
    <row r="10" spans="1:16" s="25" customFormat="1" ht="15.75" x14ac:dyDescent="0.25">
      <c r="A10" s="1" t="s">
        <v>13</v>
      </c>
      <c r="B10" s="17">
        <v>5</v>
      </c>
      <c r="C10" s="18">
        <f t="shared" ref="C10:C22" si="0">(B10/$B$23)</f>
        <v>1</v>
      </c>
      <c r="D10" s="37">
        <f>'Расчет нормативов 2024-2026'!B7/8.63</f>
        <v>588.99188876013898</v>
      </c>
      <c r="E10" s="18">
        <f t="shared" ref="E10:E22" si="1">(D10/$D$23)</f>
        <v>205.60833567885481</v>
      </c>
      <c r="F10" s="37">
        <f>'Расчет нормативов 2024-2026'!D7+'Расчет нормативов 2024-2026'!H7</f>
        <v>3881.9951000000001</v>
      </c>
      <c r="G10" s="37">
        <f>(F10/$F$23)</f>
        <v>4.4956679864630429</v>
      </c>
      <c r="H10" s="18">
        <f>'Расчет нормативов 2024-2026'!E7+'Расчет нормативов 2024-2026'!I7</f>
        <v>162.86451</v>
      </c>
      <c r="I10" s="18">
        <f>(H10/$H$23)</f>
        <v>3.6376810525977223</v>
      </c>
      <c r="J10" s="18">
        <f>C10*$B$8+($E$25-E10)*$D$8+G10*$F$8+I10*$H$8</f>
        <v>3.2376914333048865</v>
      </c>
      <c r="K10" s="19">
        <f>FORECAST(J10,$K$23:$K$24,$J$23:$J$24)</f>
        <v>1</v>
      </c>
      <c r="L10" s="20"/>
      <c r="M10" s="21"/>
      <c r="N10" s="22"/>
      <c r="O10" s="23"/>
      <c r="P10" s="24"/>
    </row>
    <row r="11" spans="1:16" s="25" customFormat="1" ht="15.75" x14ac:dyDescent="0.25">
      <c r="A11" s="1" t="s">
        <v>23</v>
      </c>
      <c r="B11" s="17">
        <v>13</v>
      </c>
      <c r="C11" s="18">
        <f t="shared" si="0"/>
        <v>2.6</v>
      </c>
      <c r="D11" s="37">
        <f>'Расчет нормативов 2024-2026'!B8/14.31</f>
        <v>568.34381551362685</v>
      </c>
      <c r="E11" s="18">
        <f t="shared" si="1"/>
        <v>198.40039944712285</v>
      </c>
      <c r="F11" s="37">
        <f>'Расчет нормативов 2024-2026'!D8+'Расчет нормативов 2024-2026'!H8</f>
        <v>7211.0411699999995</v>
      </c>
      <c r="G11" s="37">
        <f t="shared" ref="G11:G22" si="2">(F11/$F$23)</f>
        <v>8.3509757487937062</v>
      </c>
      <c r="H11" s="18">
        <f>'Расчет нормативов 2024-2026'!E8+'Расчет нормативов 2024-2026'!I8</f>
        <v>593.27076999999997</v>
      </c>
      <c r="I11" s="18">
        <f t="shared" ref="I11:I22" si="3">(H11/$H$23)</f>
        <v>13.251075013758745</v>
      </c>
      <c r="J11" s="18">
        <f t="shared" ref="J11:J22" si="4">C11*$B$8+($E$25-E11)*$D$8+G11*$F$8+I11*$H$8</f>
        <v>7.4092883097087343</v>
      </c>
      <c r="K11" s="19">
        <f t="shared" ref="K11:K22" si="5">FORECAST(J11,$K$23:$K$24,$J$23:$J$24)</f>
        <v>1.0148875800306996</v>
      </c>
      <c r="L11" s="20"/>
      <c r="M11" s="21"/>
      <c r="N11" s="22"/>
      <c r="O11" s="23"/>
      <c r="P11" s="24"/>
    </row>
    <row r="12" spans="1:16" s="25" customFormat="1" ht="15.75" x14ac:dyDescent="0.25">
      <c r="A12" s="1" t="s">
        <v>12</v>
      </c>
      <c r="B12" s="17">
        <v>18</v>
      </c>
      <c r="C12" s="18">
        <f t="shared" si="0"/>
        <v>3.6</v>
      </c>
      <c r="D12" s="37">
        <f>'Расчет нормативов 2024-2026'!B9/110.66</f>
        <v>2.8646303994216522</v>
      </c>
      <c r="E12" s="18">
        <f t="shared" si="1"/>
        <v>1</v>
      </c>
      <c r="F12" s="37">
        <f>'Расчет нормативов 2024-2026'!D9+'Расчет нормативов 2024-2026'!H9</f>
        <v>1243.7508399999999</v>
      </c>
      <c r="G12" s="37">
        <f t="shared" si="2"/>
        <v>1.4403652478913529</v>
      </c>
      <c r="H12" s="18">
        <f>'Расчет нормативов 2024-2026'!E9+'Расчет нормативов 2024-2026'!I9</f>
        <v>952.46108000000004</v>
      </c>
      <c r="I12" s="18">
        <f t="shared" si="3"/>
        <v>21.273816033049581</v>
      </c>
      <c r="J12" s="18">
        <f t="shared" si="4"/>
        <v>31.044357047491037</v>
      </c>
      <c r="K12" s="19">
        <f t="shared" si="5"/>
        <v>1.0992363289127229</v>
      </c>
      <c r="L12" s="20"/>
      <c r="M12" s="21"/>
      <c r="N12" s="22"/>
      <c r="O12" s="23"/>
      <c r="P12" s="24"/>
    </row>
    <row r="13" spans="1:16" s="25" customFormat="1" ht="15.75" x14ac:dyDescent="0.25">
      <c r="A13" s="1" t="s">
        <v>14</v>
      </c>
      <c r="B13" s="17">
        <v>10</v>
      </c>
      <c r="C13" s="18">
        <f t="shared" si="0"/>
        <v>2</v>
      </c>
      <c r="D13" s="37">
        <f>'Расчет нормативов 2024-2026'!B10/60.9</f>
        <v>7.8981937602627257</v>
      </c>
      <c r="E13" s="18">
        <f t="shared" si="1"/>
        <v>2.7571423391503886</v>
      </c>
      <c r="F13" s="37">
        <f>'Расчет нормативов 2024-2026'!D10+'Расчет нормативов 2024-2026'!H10</f>
        <v>1180.1725100000001</v>
      </c>
      <c r="G13" s="37">
        <f t="shared" si="2"/>
        <v>1.3667363391856768</v>
      </c>
      <c r="H13" s="18">
        <f>'Расчет нормативов 2024-2026'!E10+'Расчет нормативов 2024-2026'!I10</f>
        <v>146.11854</v>
      </c>
      <c r="I13" s="18">
        <f t="shared" si="3"/>
        <v>3.2636493020563071</v>
      </c>
      <c r="J13" s="18">
        <f t="shared" si="4"/>
        <v>29.758091660111564</v>
      </c>
      <c r="K13" s="19">
        <f t="shared" si="5"/>
        <v>1.0946459095930501</v>
      </c>
      <c r="L13" s="20"/>
      <c r="M13" s="21"/>
      <c r="N13" s="22"/>
      <c r="O13" s="23"/>
      <c r="P13" s="24"/>
    </row>
    <row r="14" spans="1:16" s="25" customFormat="1" ht="15.75" x14ac:dyDescent="0.25">
      <c r="A14" s="1" t="s">
        <v>15</v>
      </c>
      <c r="B14" s="17">
        <v>15</v>
      </c>
      <c r="C14" s="18">
        <f t="shared" si="0"/>
        <v>3</v>
      </c>
      <c r="D14" s="37">
        <f>'Расчет нормативов 2024-2026'!B11/94.47</f>
        <v>8.9975653646660323</v>
      </c>
      <c r="E14" s="18">
        <f t="shared" si="1"/>
        <v>3.1409166664162242</v>
      </c>
      <c r="F14" s="37">
        <f>'Расчет нормативов 2024-2026'!D11+'Расчет нормативов 2024-2026'!H11</f>
        <v>1473.06258</v>
      </c>
      <c r="G14" s="37">
        <f t="shared" si="2"/>
        <v>1.7059270072140622</v>
      </c>
      <c r="H14" s="18">
        <f>'Расчет нормативов 2024-2026'!E11+'Расчет нормативов 2024-2026'!I11</f>
        <v>54.468769999999999</v>
      </c>
      <c r="I14" s="18">
        <f t="shared" si="3"/>
        <v>1.216594165219318</v>
      </c>
      <c r="J14" s="18">
        <f t="shared" si="4"/>
        <v>30.012954983039322</v>
      </c>
      <c r="K14" s="19">
        <f t="shared" si="5"/>
        <v>1.0955554649094899</v>
      </c>
      <c r="L14" s="20"/>
      <c r="M14" s="21"/>
      <c r="N14" s="22"/>
      <c r="O14" s="23"/>
      <c r="P14" s="24"/>
    </row>
    <row r="15" spans="1:16" s="25" customFormat="1" ht="15.75" x14ac:dyDescent="0.25">
      <c r="A15" s="1" t="s">
        <v>16</v>
      </c>
      <c r="B15" s="17">
        <v>26</v>
      </c>
      <c r="C15" s="18">
        <f t="shared" si="0"/>
        <v>5.2</v>
      </c>
      <c r="D15" s="37">
        <f>'Расчет нормативов 2024-2026'!B12/29.54</f>
        <v>8.1245768449559925</v>
      </c>
      <c r="E15" s="18">
        <f t="shared" si="1"/>
        <v>2.8361693175483595</v>
      </c>
      <c r="F15" s="37">
        <f>'Расчет нормативов 2024-2026'!D12+'Расчет нормативов 2024-2026'!H12</f>
        <v>863.49684000000002</v>
      </c>
      <c r="G15" s="37">
        <f t="shared" si="2"/>
        <v>1</v>
      </c>
      <c r="H15" s="18">
        <f>'Расчет нормативов 2024-2026'!E12+'Расчет нормативов 2024-2026'!I12</f>
        <v>221.64383000000001</v>
      </c>
      <c r="I15" s="18">
        <f t="shared" si="3"/>
        <v>4.9505540575794615</v>
      </c>
      <c r="J15" s="18">
        <f t="shared" si="4"/>
        <v>30.120125452886086</v>
      </c>
      <c r="K15" s="19">
        <f t="shared" si="5"/>
        <v>1.095937934499444</v>
      </c>
      <c r="L15" s="20"/>
      <c r="M15" s="21"/>
      <c r="N15" s="22"/>
      <c r="O15" s="23"/>
      <c r="P15" s="24"/>
    </row>
    <row r="16" spans="1:16" s="25" customFormat="1" ht="15.75" x14ac:dyDescent="0.25">
      <c r="A16" s="1" t="s">
        <v>17</v>
      </c>
      <c r="B16" s="17">
        <v>25</v>
      </c>
      <c r="C16" s="18">
        <f t="shared" si="0"/>
        <v>5</v>
      </c>
      <c r="D16" s="37">
        <f>'Расчет нормативов 2024-2026'!B13/170.2</f>
        <v>3.5605170387779084</v>
      </c>
      <c r="E16" s="18">
        <f t="shared" si="1"/>
        <v>1.2429237082371083</v>
      </c>
      <c r="F16" s="37">
        <f>'Расчет нормативов 2024-2026'!D13+'Расчет нормативов 2024-2026'!H13</f>
        <v>1374.7135000000001</v>
      </c>
      <c r="G16" s="37">
        <f t="shared" si="2"/>
        <v>1.5920307247447485</v>
      </c>
      <c r="H16" s="18">
        <f>'Расчет нормативов 2024-2026'!E13+'Расчет нормативов 2024-2026'!I13</f>
        <v>853.30601000000001</v>
      </c>
      <c r="I16" s="18">
        <f t="shared" si="3"/>
        <v>19.059125310018512</v>
      </c>
      <c r="J16" s="18">
        <f t="shared" si="4"/>
        <v>31.258342659371309</v>
      </c>
      <c r="K16" s="19">
        <f t="shared" si="5"/>
        <v>1.1000000000000001</v>
      </c>
      <c r="L16" s="20"/>
      <c r="M16" s="21"/>
      <c r="N16" s="22"/>
      <c r="O16" s="23"/>
      <c r="P16" s="24"/>
    </row>
    <row r="17" spans="1:16" s="25" customFormat="1" ht="15.75" x14ac:dyDescent="0.25">
      <c r="A17" s="1" t="s">
        <v>18</v>
      </c>
      <c r="B17" s="17">
        <v>17</v>
      </c>
      <c r="C17" s="18">
        <f t="shared" si="0"/>
        <v>3.4</v>
      </c>
      <c r="D17" s="37">
        <f>'Расчет нормативов 2024-2026'!B14/102.7</f>
        <v>8.2473222979552094</v>
      </c>
      <c r="E17" s="18">
        <f t="shared" si="1"/>
        <v>2.8790179353051211</v>
      </c>
      <c r="F17" s="37">
        <f>'Расчет нормативов 2024-2026'!D14+'Расчет нормативов 2024-2026'!H14</f>
        <v>1123.3921500000001</v>
      </c>
      <c r="G17" s="37">
        <f t="shared" si="2"/>
        <v>1.3009800360126391</v>
      </c>
      <c r="H17" s="18">
        <f>'Расчет нормативов 2024-2026'!E14+'Расчет нормативов 2024-2026'!I14</f>
        <v>70.320350000000005</v>
      </c>
      <c r="I17" s="18">
        <f t="shared" si="3"/>
        <v>1.5706491537477396</v>
      </c>
      <c r="J17" s="18">
        <f t="shared" si="4"/>
        <v>29.868567473655084</v>
      </c>
      <c r="K17" s="19">
        <f t="shared" si="5"/>
        <v>1.0950401752817815</v>
      </c>
      <c r="L17" s="20"/>
      <c r="M17" s="21"/>
      <c r="N17" s="22"/>
      <c r="O17" s="23"/>
      <c r="P17" s="24"/>
    </row>
    <row r="18" spans="1:16" s="25" customFormat="1" ht="15.75" x14ac:dyDescent="0.25">
      <c r="A18" s="1" t="s">
        <v>19</v>
      </c>
      <c r="B18" s="17">
        <v>10</v>
      </c>
      <c r="C18" s="18">
        <f t="shared" si="0"/>
        <v>2</v>
      </c>
      <c r="D18" s="37">
        <f>'Расчет нормативов 2024-2026'!B15/49.08</f>
        <v>38.080684596577015</v>
      </c>
      <c r="E18" s="18">
        <f t="shared" si="1"/>
        <v>13.293402389454927</v>
      </c>
      <c r="F18" s="37">
        <f>'Расчет нормативов 2024-2026'!D15+'Расчет нормативов 2024-2026'!H15</f>
        <v>1650.7177900000002</v>
      </c>
      <c r="G18" s="37">
        <f t="shared" si="2"/>
        <v>1.9116662777827886</v>
      </c>
      <c r="H18" s="18">
        <f>'Расчет нормативов 2024-2026'!E15+'Расчет нормативов 2024-2026'!I15</f>
        <v>314.90424000000002</v>
      </c>
      <c r="I18" s="18">
        <f t="shared" si="3"/>
        <v>7.033583849733045</v>
      </c>
      <c r="J18" s="18">
        <f t="shared" si="4"/>
        <v>28.78801709506412</v>
      </c>
      <c r="K18" s="19">
        <f t="shared" si="5"/>
        <v>1.0911839109506165</v>
      </c>
      <c r="L18" s="20"/>
      <c r="M18" s="21"/>
      <c r="N18" s="22"/>
      <c r="O18" s="23"/>
      <c r="P18" s="24"/>
    </row>
    <row r="19" spans="1:16" s="25" customFormat="1" ht="15.75" x14ac:dyDescent="0.25">
      <c r="A19" s="1" t="s">
        <v>24</v>
      </c>
      <c r="B19" s="17">
        <v>17</v>
      </c>
      <c r="C19" s="18">
        <f t="shared" si="0"/>
        <v>3.4</v>
      </c>
      <c r="D19" s="37">
        <f>'Расчет нормативов 2024-2026'!B16/90.52</f>
        <v>16.559876270437474</v>
      </c>
      <c r="E19" s="18">
        <f t="shared" si="1"/>
        <v>5.7808072810303175</v>
      </c>
      <c r="F19" s="37">
        <f>'Расчет нормативов 2024-2026'!D16+'Расчет нормативов 2024-2026'!H16</f>
        <v>1707.0782399999998</v>
      </c>
      <c r="G19" s="37">
        <f t="shared" si="2"/>
        <v>1.9769362908149146</v>
      </c>
      <c r="H19" s="18">
        <f>'Расчет нормативов 2024-2026'!E16+'Расчет нормативов 2024-2026'!I16</f>
        <v>44.771520000000002</v>
      </c>
      <c r="I19" s="18">
        <f t="shared" si="3"/>
        <v>1</v>
      </c>
      <c r="J19" s="18">
        <f t="shared" si="4"/>
        <v>29.878862564725125</v>
      </c>
      <c r="K19" s="19">
        <f t="shared" si="5"/>
        <v>1.0950769163660161</v>
      </c>
      <c r="L19" s="20"/>
      <c r="M19" s="21"/>
      <c r="N19" s="22"/>
      <c r="O19" s="23"/>
      <c r="P19" s="24"/>
    </row>
    <row r="20" spans="1:16" s="25" customFormat="1" ht="15.75" x14ac:dyDescent="0.25">
      <c r="A20" s="1" t="s">
        <v>20</v>
      </c>
      <c r="B20" s="17">
        <v>12</v>
      </c>
      <c r="C20" s="18">
        <f t="shared" si="0"/>
        <v>2.4</v>
      </c>
      <c r="D20" s="37">
        <f>'Расчет нормативов 2024-2026'!B17/30.96</f>
        <v>35.723514211886304</v>
      </c>
      <c r="E20" s="18">
        <f t="shared" si="1"/>
        <v>12.470549156742392</v>
      </c>
      <c r="F20" s="37">
        <f>'Расчет нормативов 2024-2026'!D17+'Расчет нормативов 2024-2026'!H17</f>
        <v>1700.8988600000002</v>
      </c>
      <c r="G20" s="37">
        <f t="shared" si="2"/>
        <v>1.9697800631210187</v>
      </c>
      <c r="H20" s="18">
        <f>'Расчет нормативов 2024-2026'!E17+'Расчет нормативов 2024-2026'!I17</f>
        <v>195.06843000000001</v>
      </c>
      <c r="I20" s="18">
        <f>(H20/$H$23)</f>
        <v>4.3569758185560818</v>
      </c>
      <c r="J20" s="18">
        <f t="shared" si="4"/>
        <v>28.90192618686665</v>
      </c>
      <c r="K20" s="19">
        <f t="shared" si="5"/>
        <v>1.0915904293105345</v>
      </c>
      <c r="L20" s="20"/>
      <c r="M20" s="21"/>
      <c r="N20" s="22"/>
      <c r="O20" s="23"/>
      <c r="P20" s="24"/>
    </row>
    <row r="21" spans="1:16" s="25" customFormat="1" ht="15.75" x14ac:dyDescent="0.25">
      <c r="A21" s="1" t="s">
        <v>21</v>
      </c>
      <c r="B21" s="17">
        <v>25</v>
      </c>
      <c r="C21" s="18">
        <f t="shared" si="0"/>
        <v>5</v>
      </c>
      <c r="D21" s="37">
        <f>'Расчет нормативов 2024-2026'!B18/87.9</f>
        <v>11.399317406143345</v>
      </c>
      <c r="E21" s="18">
        <f t="shared" si="1"/>
        <v>3.9793326945230989</v>
      </c>
      <c r="F21" s="37">
        <f>'Расчет нормативов 2024-2026'!D18+'Расчет нормативов 2024-2026'!H18</f>
        <v>1695.3021600000002</v>
      </c>
      <c r="G21" s="37">
        <f t="shared" si="2"/>
        <v>1.9632986265473771</v>
      </c>
      <c r="H21" s="18">
        <f>'Расчет нормативов 2024-2026'!E18+'Расчет нормативов 2024-2026'!I18</f>
        <v>258.50806</v>
      </c>
      <c r="I21" s="18">
        <f t="shared" si="3"/>
        <v>5.7739397724267567</v>
      </c>
      <c r="J21" s="18">
        <f t="shared" si="4"/>
        <v>30.58516211595931</v>
      </c>
      <c r="K21" s="19">
        <f t="shared" si="5"/>
        <v>1.0975975556814122</v>
      </c>
      <c r="L21" s="20"/>
      <c r="M21" s="21"/>
      <c r="N21" s="22"/>
      <c r="O21" s="23"/>
      <c r="P21" s="24"/>
    </row>
    <row r="22" spans="1:16" s="25" customFormat="1" ht="15.75" x14ac:dyDescent="0.25">
      <c r="A22" s="1" t="s">
        <v>22</v>
      </c>
      <c r="B22" s="17">
        <v>10</v>
      </c>
      <c r="C22" s="18">
        <f t="shared" si="0"/>
        <v>2</v>
      </c>
      <c r="D22" s="37">
        <f>'Расчет нормативов 2024-2026'!B19/59.73</f>
        <v>9.5094592332161394</v>
      </c>
      <c r="E22" s="18">
        <f t="shared" si="1"/>
        <v>3.3196112263334316</v>
      </c>
      <c r="F22" s="37">
        <f>'Расчет нормативов 2024-2026'!D19+'Расчет нормативов 2024-2026'!H19</f>
        <v>1397.17932</v>
      </c>
      <c r="G22" s="37">
        <f t="shared" si="2"/>
        <v>1.6180479826654606</v>
      </c>
      <c r="H22" s="18">
        <f>'Расчет нормативов 2024-2026'!E19+'Расчет нормативов 2024-2026'!I19</f>
        <v>87.644800000000004</v>
      </c>
      <c r="I22" s="18">
        <f t="shared" si="3"/>
        <v>1.9576016181715519</v>
      </c>
      <c r="J22" s="18">
        <f t="shared" si="4"/>
        <v>29.790456676812408</v>
      </c>
      <c r="K22" s="19">
        <f t="shared" si="5"/>
        <v>1.0947614137490376</v>
      </c>
      <c r="L22" s="20"/>
      <c r="M22" s="21"/>
      <c r="N22" s="22"/>
      <c r="O22" s="23"/>
      <c r="P22" s="24"/>
    </row>
    <row r="23" spans="1:16" s="29" customFormat="1" ht="15.75" x14ac:dyDescent="0.25">
      <c r="A23" s="26" t="s">
        <v>39</v>
      </c>
      <c r="B23" s="27">
        <f>MIN(B10:B22)</f>
        <v>5</v>
      </c>
      <c r="C23" s="27"/>
      <c r="D23" s="27">
        <f>MIN(D10:D22)</f>
        <v>2.8646303994216522</v>
      </c>
      <c r="E23" s="27"/>
      <c r="F23" s="38">
        <f>MIN(F10:F22)</f>
        <v>863.49684000000002</v>
      </c>
      <c r="G23" s="38">
        <f>MIN(G10:G22)</f>
        <v>1</v>
      </c>
      <c r="H23" s="27">
        <f>MIN(H10:H22)</f>
        <v>44.771520000000002</v>
      </c>
      <c r="I23" s="27">
        <f>MIN(I10:I22)</f>
        <v>1</v>
      </c>
      <c r="J23" s="27">
        <f>MIN(J10:J22)</f>
        <v>3.2376914333048865</v>
      </c>
      <c r="K23" s="28">
        <v>1</v>
      </c>
      <c r="O23" s="23"/>
    </row>
    <row r="24" spans="1:16" s="29" customFormat="1" ht="15.75" x14ac:dyDescent="0.25">
      <c r="A24" s="26" t="s">
        <v>40</v>
      </c>
      <c r="B24" s="30">
        <f>MAX(B10:B22)</f>
        <v>26</v>
      </c>
      <c r="C24" s="30"/>
      <c r="D24" s="30">
        <f>MAX(D10:D22)</f>
        <v>588.99188876013898</v>
      </c>
      <c r="E24" s="30"/>
      <c r="F24" s="39">
        <f>MAX(F10:F22)</f>
        <v>7211.0411699999995</v>
      </c>
      <c r="G24" s="39">
        <f>MAX(G10:G22)</f>
        <v>8.3509757487937062</v>
      </c>
      <c r="H24" s="30">
        <f>MAX(H10:H22)</f>
        <v>952.46108000000004</v>
      </c>
      <c r="I24" s="30">
        <f>MAX(I10:I22)</f>
        <v>21.273816033049581</v>
      </c>
      <c r="J24" s="30">
        <f>MAX(J10:J22)</f>
        <v>31.258342659371309</v>
      </c>
      <c r="K24" s="28">
        <v>1.1000000000000001</v>
      </c>
      <c r="O24" s="23"/>
    </row>
    <row r="25" spans="1:16" s="25" customFormat="1" ht="15.75" x14ac:dyDescent="0.25">
      <c r="A25" s="135" t="s">
        <v>41</v>
      </c>
      <c r="B25" s="135"/>
      <c r="C25" s="135"/>
      <c r="D25" s="135"/>
      <c r="E25" s="31">
        <f>MAX(E10:E22)</f>
        <v>205.60833567885481</v>
      </c>
      <c r="F25" s="32"/>
      <c r="G25" s="32"/>
      <c r="H25" s="32"/>
      <c r="I25" s="32"/>
      <c r="J25" s="32"/>
      <c r="K25" s="44"/>
    </row>
    <row r="27" spans="1:16" x14ac:dyDescent="0.2">
      <c r="A27" s="34"/>
    </row>
    <row r="28" spans="1:16" x14ac:dyDescent="0.2">
      <c r="A28" s="34"/>
    </row>
    <row r="29" spans="1:16" x14ac:dyDescent="0.2">
      <c r="A29" s="34"/>
    </row>
    <row r="30" spans="1:16" x14ac:dyDescent="0.2">
      <c r="A30" s="34"/>
    </row>
    <row r="31" spans="1:16" x14ac:dyDescent="0.2">
      <c r="A31" s="34"/>
    </row>
    <row r="32" spans="1:16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  <row r="38" spans="1:1" x14ac:dyDescent="0.2">
      <c r="A38" s="34"/>
    </row>
    <row r="39" spans="1:1" x14ac:dyDescent="0.2">
      <c r="A39" s="34"/>
    </row>
    <row r="40" spans="1:1" x14ac:dyDescent="0.2">
      <c r="A40" s="34"/>
    </row>
    <row r="41" spans="1:1" x14ac:dyDescent="0.2">
      <c r="A41" s="34"/>
    </row>
    <row r="42" spans="1:1" x14ac:dyDescent="0.2">
      <c r="A42" s="34"/>
    </row>
    <row r="43" spans="1:1" x14ac:dyDescent="0.2">
      <c r="A43" s="34"/>
    </row>
    <row r="44" spans="1:1" x14ac:dyDescent="0.2">
      <c r="A44" s="34"/>
    </row>
    <row r="45" spans="1:1" x14ac:dyDescent="0.2">
      <c r="A45" s="34"/>
    </row>
    <row r="46" spans="1:1" x14ac:dyDescent="0.2">
      <c r="A46" s="34"/>
    </row>
    <row r="47" spans="1:1" x14ac:dyDescent="0.2">
      <c r="A47" s="34"/>
    </row>
    <row r="48" spans="1:1" x14ac:dyDescent="0.2">
      <c r="A48" s="34"/>
    </row>
    <row r="49" spans="1:1" x14ac:dyDescent="0.2">
      <c r="A49" s="34"/>
    </row>
    <row r="50" spans="1:1" x14ac:dyDescent="0.2">
      <c r="A50" s="34"/>
    </row>
    <row r="51" spans="1:1" x14ac:dyDescent="0.2">
      <c r="A51" s="34"/>
    </row>
    <row r="52" spans="1:1" x14ac:dyDescent="0.2">
      <c r="A52" s="34"/>
    </row>
    <row r="53" spans="1:1" x14ac:dyDescent="0.2">
      <c r="A53" s="34"/>
    </row>
    <row r="54" spans="1:1" x14ac:dyDescent="0.2">
      <c r="A54" s="34"/>
    </row>
    <row r="55" spans="1:1" x14ac:dyDescent="0.2">
      <c r="A55" s="34"/>
    </row>
    <row r="56" spans="1:1" x14ac:dyDescent="0.2">
      <c r="A56" s="34"/>
    </row>
    <row r="57" spans="1:1" x14ac:dyDescent="0.2">
      <c r="A57" s="34"/>
    </row>
    <row r="58" spans="1:1" x14ac:dyDescent="0.2">
      <c r="A58" s="34"/>
    </row>
    <row r="59" spans="1:1" x14ac:dyDescent="0.2">
      <c r="A59" s="34"/>
    </row>
    <row r="60" spans="1:1" x14ac:dyDescent="0.2">
      <c r="A60" s="34"/>
    </row>
    <row r="61" spans="1:1" x14ac:dyDescent="0.2">
      <c r="A61" s="34"/>
    </row>
    <row r="62" spans="1:1" x14ac:dyDescent="0.2">
      <c r="A62" s="34"/>
    </row>
    <row r="63" spans="1:1" x14ac:dyDescent="0.2">
      <c r="A63" s="34"/>
    </row>
    <row r="64" spans="1:1" x14ac:dyDescent="0.2">
      <c r="A64" s="34"/>
    </row>
    <row r="65" spans="1:1" x14ac:dyDescent="0.2">
      <c r="A65" s="34"/>
    </row>
    <row r="66" spans="1:1" x14ac:dyDescent="0.2">
      <c r="A66" s="34"/>
    </row>
    <row r="67" spans="1:1" x14ac:dyDescent="0.2">
      <c r="A67" s="34"/>
    </row>
    <row r="68" spans="1:1" x14ac:dyDescent="0.2">
      <c r="A68" s="34"/>
    </row>
    <row r="69" spans="1:1" x14ac:dyDescent="0.2">
      <c r="A69" s="34"/>
    </row>
    <row r="70" spans="1:1" x14ac:dyDescent="0.2">
      <c r="A70" s="34"/>
    </row>
    <row r="71" spans="1:1" x14ac:dyDescent="0.2">
      <c r="A71" s="34"/>
    </row>
    <row r="72" spans="1:1" x14ac:dyDescent="0.2">
      <c r="A72" s="34"/>
    </row>
    <row r="73" spans="1:1" x14ac:dyDescent="0.2">
      <c r="A73" s="34"/>
    </row>
    <row r="74" spans="1:1" x14ac:dyDescent="0.2">
      <c r="A74" s="34"/>
    </row>
    <row r="75" spans="1:1" x14ac:dyDescent="0.2">
      <c r="A75" s="34"/>
    </row>
    <row r="76" spans="1:1" x14ac:dyDescent="0.2">
      <c r="A76" s="34"/>
    </row>
    <row r="77" spans="1:1" x14ac:dyDescent="0.2">
      <c r="A77" s="34"/>
    </row>
    <row r="78" spans="1:1" x14ac:dyDescent="0.2">
      <c r="A78" s="34"/>
    </row>
    <row r="79" spans="1:1" x14ac:dyDescent="0.2">
      <c r="A79" s="34"/>
    </row>
    <row r="80" spans="1:1" x14ac:dyDescent="0.2">
      <c r="A80" s="34"/>
    </row>
    <row r="81" spans="1:1" x14ac:dyDescent="0.2">
      <c r="A81" s="34"/>
    </row>
    <row r="82" spans="1:1" x14ac:dyDescent="0.2">
      <c r="A82" s="34"/>
    </row>
    <row r="83" spans="1:1" x14ac:dyDescent="0.2">
      <c r="A83" s="34"/>
    </row>
    <row r="84" spans="1:1" x14ac:dyDescent="0.2">
      <c r="A84" s="34"/>
    </row>
    <row r="85" spans="1:1" x14ac:dyDescent="0.2">
      <c r="A85" s="34"/>
    </row>
    <row r="86" spans="1:1" x14ac:dyDescent="0.2">
      <c r="A86" s="34"/>
    </row>
    <row r="87" spans="1:1" x14ac:dyDescent="0.2">
      <c r="A87" s="34"/>
    </row>
    <row r="88" spans="1:1" x14ac:dyDescent="0.2">
      <c r="A88" s="34"/>
    </row>
    <row r="89" spans="1:1" x14ac:dyDescent="0.2">
      <c r="A89" s="34"/>
    </row>
    <row r="90" spans="1:1" x14ac:dyDescent="0.2">
      <c r="A90" s="34"/>
    </row>
    <row r="91" spans="1:1" x14ac:dyDescent="0.2">
      <c r="A91" s="34"/>
    </row>
    <row r="92" spans="1:1" x14ac:dyDescent="0.2">
      <c r="A92" s="34"/>
    </row>
    <row r="93" spans="1:1" x14ac:dyDescent="0.2">
      <c r="A93" s="34"/>
    </row>
    <row r="94" spans="1:1" x14ac:dyDescent="0.2">
      <c r="A94" s="34"/>
    </row>
    <row r="95" spans="1:1" x14ac:dyDescent="0.2">
      <c r="A95" s="34"/>
    </row>
    <row r="96" spans="1:1" x14ac:dyDescent="0.2">
      <c r="A96" s="34"/>
    </row>
    <row r="97" spans="1:1" x14ac:dyDescent="0.2">
      <c r="A97" s="34"/>
    </row>
    <row r="98" spans="1:1" x14ac:dyDescent="0.2">
      <c r="A98" s="34"/>
    </row>
    <row r="99" spans="1:1" x14ac:dyDescent="0.2">
      <c r="A99" s="34"/>
    </row>
    <row r="100" spans="1:1" x14ac:dyDescent="0.2">
      <c r="A100" s="34"/>
    </row>
    <row r="101" spans="1:1" x14ac:dyDescent="0.2">
      <c r="A101" s="34"/>
    </row>
    <row r="102" spans="1:1" x14ac:dyDescent="0.2">
      <c r="A102" s="34"/>
    </row>
    <row r="103" spans="1:1" x14ac:dyDescent="0.2">
      <c r="A103" s="34"/>
    </row>
    <row r="104" spans="1:1" x14ac:dyDescent="0.2">
      <c r="A104" s="34"/>
    </row>
    <row r="105" spans="1:1" x14ac:dyDescent="0.2">
      <c r="A105" s="34"/>
    </row>
    <row r="106" spans="1:1" x14ac:dyDescent="0.2">
      <c r="A106" s="34"/>
    </row>
    <row r="107" spans="1:1" x14ac:dyDescent="0.2">
      <c r="A107" s="34"/>
    </row>
    <row r="108" spans="1:1" x14ac:dyDescent="0.2">
      <c r="A108" s="34"/>
    </row>
    <row r="109" spans="1:1" x14ac:dyDescent="0.2">
      <c r="A109" s="34"/>
    </row>
    <row r="110" spans="1:1" x14ac:dyDescent="0.2">
      <c r="A110" s="34"/>
    </row>
    <row r="111" spans="1:1" x14ac:dyDescent="0.2">
      <c r="A111" s="34"/>
    </row>
    <row r="112" spans="1:1" x14ac:dyDescent="0.2">
      <c r="A112" s="34"/>
    </row>
    <row r="113" spans="1:1" x14ac:dyDescent="0.2">
      <c r="A113" s="34"/>
    </row>
    <row r="114" spans="1:1" x14ac:dyDescent="0.2">
      <c r="A114" s="34"/>
    </row>
    <row r="115" spans="1:1" x14ac:dyDescent="0.2">
      <c r="A115" s="34"/>
    </row>
    <row r="116" spans="1:1" x14ac:dyDescent="0.2">
      <c r="A116" s="34"/>
    </row>
    <row r="117" spans="1:1" x14ac:dyDescent="0.2">
      <c r="A117" s="34"/>
    </row>
    <row r="118" spans="1:1" x14ac:dyDescent="0.2">
      <c r="A118" s="34"/>
    </row>
    <row r="119" spans="1:1" x14ac:dyDescent="0.2">
      <c r="A119" s="34"/>
    </row>
    <row r="120" spans="1:1" x14ac:dyDescent="0.2">
      <c r="A120" s="34"/>
    </row>
    <row r="121" spans="1:1" x14ac:dyDescent="0.2">
      <c r="A121" s="34"/>
    </row>
    <row r="122" spans="1:1" x14ac:dyDescent="0.2">
      <c r="A122" s="34"/>
    </row>
    <row r="123" spans="1:1" x14ac:dyDescent="0.2">
      <c r="A123" s="34"/>
    </row>
    <row r="124" spans="1:1" x14ac:dyDescent="0.2">
      <c r="A124" s="34"/>
    </row>
    <row r="125" spans="1:1" x14ac:dyDescent="0.2">
      <c r="A125" s="34"/>
    </row>
    <row r="126" spans="1:1" x14ac:dyDescent="0.2">
      <c r="A126" s="34"/>
    </row>
    <row r="127" spans="1:1" x14ac:dyDescent="0.2">
      <c r="A127" s="34"/>
    </row>
    <row r="128" spans="1:1" x14ac:dyDescent="0.2">
      <c r="A128" s="34"/>
    </row>
    <row r="129" spans="1:1" x14ac:dyDescent="0.2">
      <c r="A129" s="34"/>
    </row>
    <row r="130" spans="1:1" x14ac:dyDescent="0.2">
      <c r="A130" s="34"/>
    </row>
    <row r="131" spans="1:1" x14ac:dyDescent="0.2">
      <c r="A131" s="34"/>
    </row>
    <row r="132" spans="1:1" x14ac:dyDescent="0.2">
      <c r="A132" s="34"/>
    </row>
    <row r="133" spans="1:1" x14ac:dyDescent="0.2">
      <c r="A133" s="34"/>
    </row>
    <row r="134" spans="1:1" x14ac:dyDescent="0.2">
      <c r="A134" s="34"/>
    </row>
    <row r="135" spans="1:1" x14ac:dyDescent="0.2">
      <c r="A135" s="34"/>
    </row>
    <row r="136" spans="1:1" x14ac:dyDescent="0.2">
      <c r="A136" s="34"/>
    </row>
    <row r="137" spans="1:1" x14ac:dyDescent="0.2">
      <c r="A137" s="34"/>
    </row>
    <row r="138" spans="1:1" x14ac:dyDescent="0.2">
      <c r="A138" s="34"/>
    </row>
    <row r="139" spans="1:1" x14ac:dyDescent="0.2">
      <c r="A139" s="34"/>
    </row>
    <row r="140" spans="1:1" x14ac:dyDescent="0.2">
      <c r="A140" s="34"/>
    </row>
    <row r="141" spans="1:1" x14ac:dyDescent="0.2">
      <c r="A141" s="34"/>
    </row>
    <row r="142" spans="1:1" x14ac:dyDescent="0.2">
      <c r="A142" s="34"/>
    </row>
    <row r="143" spans="1:1" x14ac:dyDescent="0.2">
      <c r="A143" s="34"/>
    </row>
    <row r="144" spans="1:1" x14ac:dyDescent="0.2">
      <c r="A144" s="34"/>
    </row>
    <row r="145" spans="1:1" x14ac:dyDescent="0.2">
      <c r="A145" s="34"/>
    </row>
    <row r="146" spans="1:1" x14ac:dyDescent="0.2">
      <c r="A146" s="34"/>
    </row>
    <row r="147" spans="1:1" x14ac:dyDescent="0.2">
      <c r="A147" s="34"/>
    </row>
    <row r="148" spans="1:1" x14ac:dyDescent="0.2">
      <c r="A148" s="34"/>
    </row>
    <row r="149" spans="1:1" x14ac:dyDescent="0.2">
      <c r="A149" s="34"/>
    </row>
    <row r="150" spans="1:1" x14ac:dyDescent="0.2">
      <c r="A150" s="34"/>
    </row>
    <row r="151" spans="1:1" x14ac:dyDescent="0.2">
      <c r="A151" s="34"/>
    </row>
    <row r="152" spans="1:1" x14ac:dyDescent="0.2">
      <c r="A152" s="34"/>
    </row>
    <row r="153" spans="1:1" x14ac:dyDescent="0.2">
      <c r="A153" s="34"/>
    </row>
    <row r="154" spans="1:1" x14ac:dyDescent="0.2">
      <c r="A154" s="34"/>
    </row>
    <row r="155" spans="1:1" x14ac:dyDescent="0.2">
      <c r="A155" s="34"/>
    </row>
    <row r="156" spans="1:1" x14ac:dyDescent="0.2">
      <c r="A156" s="34"/>
    </row>
    <row r="157" spans="1:1" x14ac:dyDescent="0.2">
      <c r="A157" s="34"/>
    </row>
    <row r="158" spans="1:1" x14ac:dyDescent="0.2">
      <c r="A158" s="34"/>
    </row>
    <row r="159" spans="1:1" x14ac:dyDescent="0.2">
      <c r="A159" s="34"/>
    </row>
    <row r="160" spans="1:1" x14ac:dyDescent="0.2">
      <c r="A160" s="34"/>
    </row>
    <row r="161" spans="1:1" x14ac:dyDescent="0.2">
      <c r="A161" s="34"/>
    </row>
    <row r="162" spans="1:1" x14ac:dyDescent="0.2">
      <c r="A162" s="34"/>
    </row>
    <row r="163" spans="1:1" x14ac:dyDescent="0.2">
      <c r="A163" s="34"/>
    </row>
    <row r="164" spans="1:1" x14ac:dyDescent="0.2">
      <c r="A164" s="34"/>
    </row>
    <row r="165" spans="1:1" x14ac:dyDescent="0.2">
      <c r="A165" s="34"/>
    </row>
    <row r="166" spans="1:1" x14ac:dyDescent="0.2">
      <c r="A166" s="34"/>
    </row>
    <row r="167" spans="1:1" x14ac:dyDescent="0.2">
      <c r="A167" s="34"/>
    </row>
    <row r="168" spans="1:1" x14ac:dyDescent="0.2">
      <c r="A168" s="34"/>
    </row>
    <row r="169" spans="1:1" x14ac:dyDescent="0.2">
      <c r="A169" s="34"/>
    </row>
    <row r="170" spans="1:1" x14ac:dyDescent="0.2">
      <c r="A170" s="34"/>
    </row>
    <row r="171" spans="1:1" x14ac:dyDescent="0.2">
      <c r="A171" s="34"/>
    </row>
    <row r="172" spans="1:1" x14ac:dyDescent="0.2">
      <c r="A172" s="34"/>
    </row>
    <row r="173" spans="1:1" x14ac:dyDescent="0.2">
      <c r="A173" s="34"/>
    </row>
    <row r="174" spans="1:1" x14ac:dyDescent="0.2">
      <c r="A174" s="34"/>
    </row>
    <row r="175" spans="1:1" x14ac:dyDescent="0.2">
      <c r="A175" s="34"/>
    </row>
    <row r="176" spans="1:1" x14ac:dyDescent="0.2">
      <c r="A176" s="34"/>
    </row>
  </sheetData>
  <mergeCells count="16">
    <mergeCell ref="A1:I1"/>
    <mergeCell ref="A2:I2"/>
    <mergeCell ref="A4:I4"/>
    <mergeCell ref="B6:G6"/>
    <mergeCell ref="B7:C7"/>
    <mergeCell ref="D7:E7"/>
    <mergeCell ref="F7:G7"/>
    <mergeCell ref="H7:I7"/>
    <mergeCell ref="A25:B25"/>
    <mergeCell ref="C25:D25"/>
    <mergeCell ref="J7:J9"/>
    <mergeCell ref="K7:K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 нормативов 2024-2026</vt:lpstr>
      <vt:lpstr>Плправ К по ОМС зарплата и МЗ</vt:lpstr>
      <vt:lpstr>'Расчет нормативов 2024-2026'!Заголовки_для_печати</vt:lpstr>
      <vt:lpstr>'Плправ К по ОМС зарплата и МЗ'!Область_печати</vt:lpstr>
      <vt:lpstr>'Расчет нормативов 2024-2026'!Область_печати</vt:lpstr>
    </vt:vector>
  </TitlesOfParts>
  <Company>Финансовый отдел Вятскополянского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 Светлана Анатольевна</dc:creator>
  <cp:lastModifiedBy>Vladimirova</cp:lastModifiedBy>
  <cp:lastPrinted>2023-11-15T13:01:18Z</cp:lastPrinted>
  <dcterms:created xsi:type="dcterms:W3CDTF">2009-09-08T04:55:32Z</dcterms:created>
  <dcterms:modified xsi:type="dcterms:W3CDTF">2023-11-15T13:01:22Z</dcterms:modified>
</cp:coreProperties>
</file>